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amapo Boosters\"/>
    </mc:Choice>
  </mc:AlternateContent>
  <xr:revisionPtr revIDLastSave="0" documentId="13_ncr:1_{7D7A860F-4556-432C-B0F0-F8CC90F1332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ofit and Loss by Class" sheetId="1" r:id="rId1"/>
  </sheets>
  <definedNames>
    <definedName name="_xlnm.Print_Titles" localSheetId="0">'Profit and Loss by Class'!$A:$A,'Profit and Loss by Class'!$1:$5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7" i="1" l="1"/>
  <c r="K57" i="1"/>
  <c r="H57" i="1"/>
  <c r="O56" i="1"/>
  <c r="M56" i="1"/>
  <c r="L56" i="1"/>
  <c r="K56" i="1"/>
  <c r="J56" i="1"/>
  <c r="I56" i="1"/>
  <c r="G56" i="1"/>
  <c r="F56" i="1"/>
  <c r="E56" i="1"/>
  <c r="D56" i="1"/>
  <c r="C56" i="1"/>
  <c r="B56" i="1"/>
  <c r="N55" i="1"/>
  <c r="N56" i="1" s="1"/>
  <c r="H55" i="1"/>
  <c r="H56" i="1" s="1"/>
  <c r="E55" i="1"/>
  <c r="P54" i="1"/>
  <c r="O53" i="1"/>
  <c r="N53" i="1"/>
  <c r="M53" i="1"/>
  <c r="L53" i="1"/>
  <c r="K53" i="1"/>
  <c r="J53" i="1"/>
  <c r="G53" i="1"/>
  <c r="F53" i="1"/>
  <c r="C53" i="1"/>
  <c r="B53" i="1"/>
  <c r="H52" i="1"/>
  <c r="P52" i="1" s="1"/>
  <c r="H51" i="1"/>
  <c r="E51" i="1"/>
  <c r="E53" i="1" s="1"/>
  <c r="D51" i="1"/>
  <c r="H50" i="1"/>
  <c r="P50" i="1" s="1"/>
  <c r="I49" i="1"/>
  <c r="I53" i="1" s="1"/>
  <c r="H49" i="1"/>
  <c r="P48" i="1"/>
  <c r="O47" i="1"/>
  <c r="N47" i="1"/>
  <c r="M47" i="1"/>
  <c r="L47" i="1"/>
  <c r="K47" i="1"/>
  <c r="J47" i="1"/>
  <c r="I47" i="1"/>
  <c r="H47" i="1"/>
  <c r="G47" i="1"/>
  <c r="F47" i="1"/>
  <c r="E47" i="1"/>
  <c r="D46" i="1"/>
  <c r="D47" i="1" s="1"/>
  <c r="C46" i="1"/>
  <c r="C47" i="1" s="1"/>
  <c r="B46" i="1"/>
  <c r="B47" i="1" s="1"/>
  <c r="P45" i="1"/>
  <c r="O44" i="1"/>
  <c r="G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42" i="1"/>
  <c r="K42" i="1"/>
  <c r="P41" i="1"/>
  <c r="O40" i="1"/>
  <c r="N40" i="1"/>
  <c r="N44" i="1" s="1"/>
  <c r="M40" i="1"/>
  <c r="M44" i="1" s="1"/>
  <c r="L40" i="1"/>
  <c r="L44" i="1" s="1"/>
  <c r="K40" i="1"/>
  <c r="K44" i="1" s="1"/>
  <c r="J40" i="1"/>
  <c r="J44" i="1" s="1"/>
  <c r="H40" i="1"/>
  <c r="H44" i="1" s="1"/>
  <c r="G40" i="1"/>
  <c r="F40" i="1"/>
  <c r="F44" i="1" s="1"/>
  <c r="E40" i="1"/>
  <c r="E44" i="1" s="1"/>
  <c r="D40" i="1"/>
  <c r="D44" i="1" s="1"/>
  <c r="C40" i="1"/>
  <c r="B40" i="1"/>
  <c r="B44" i="1" s="1"/>
  <c r="I39" i="1"/>
  <c r="I40" i="1" s="1"/>
  <c r="P38" i="1"/>
  <c r="I37" i="1"/>
  <c r="P36" i="1"/>
  <c r="O35" i="1"/>
  <c r="M35" i="1"/>
  <c r="L35" i="1"/>
  <c r="K35" i="1"/>
  <c r="J35" i="1"/>
  <c r="I35" i="1"/>
  <c r="F35" i="1"/>
  <c r="E35" i="1"/>
  <c r="D35" i="1"/>
  <c r="C35" i="1"/>
  <c r="B35" i="1"/>
  <c r="N34" i="1"/>
  <c r="N35" i="1" s="1"/>
  <c r="M34" i="1"/>
  <c r="K34" i="1"/>
  <c r="H34" i="1"/>
  <c r="H35" i="1" s="1"/>
  <c r="G34" i="1"/>
  <c r="G35" i="1" s="1"/>
  <c r="P33" i="1"/>
  <c r="K32" i="1"/>
  <c r="H32" i="1"/>
  <c r="P32" i="1" s="1"/>
  <c r="O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N31" i="1" s="1"/>
  <c r="P29" i="1"/>
  <c r="O28" i="1"/>
  <c r="N28" i="1"/>
  <c r="M28" i="1"/>
  <c r="L28" i="1"/>
  <c r="K28" i="1"/>
  <c r="J28" i="1"/>
  <c r="H28" i="1"/>
  <c r="G28" i="1"/>
  <c r="G58" i="1" s="1"/>
  <c r="F28" i="1"/>
  <c r="E28" i="1"/>
  <c r="D28" i="1"/>
  <c r="C28" i="1"/>
  <c r="B28" i="1"/>
  <c r="I27" i="1"/>
  <c r="P27" i="1" s="1"/>
  <c r="I26" i="1"/>
  <c r="I28" i="1" s="1"/>
  <c r="O22" i="1"/>
  <c r="N22" i="1"/>
  <c r="M22" i="1"/>
  <c r="L22" i="1"/>
  <c r="K22" i="1"/>
  <c r="J22" i="1"/>
  <c r="I22" i="1"/>
  <c r="H22" i="1"/>
  <c r="G22" i="1"/>
  <c r="E22" i="1"/>
  <c r="D22" i="1"/>
  <c r="C22" i="1"/>
  <c r="B22" i="1"/>
  <c r="N21" i="1"/>
  <c r="M21" i="1"/>
  <c r="F21" i="1"/>
  <c r="P21" i="1" s="1"/>
  <c r="P20" i="1"/>
  <c r="M19" i="1"/>
  <c r="L19" i="1"/>
  <c r="K19" i="1"/>
  <c r="J19" i="1"/>
  <c r="H19" i="1"/>
  <c r="G19" i="1"/>
  <c r="E19" i="1"/>
  <c r="D19" i="1"/>
  <c r="C19" i="1"/>
  <c r="B19" i="1"/>
  <c r="O18" i="1"/>
  <c r="O19" i="1" s="1"/>
  <c r="I18" i="1"/>
  <c r="F18" i="1"/>
  <c r="F19" i="1" s="1"/>
  <c r="I17" i="1"/>
  <c r="P17" i="1" s="1"/>
  <c r="N16" i="1"/>
  <c r="N19" i="1" s="1"/>
  <c r="I16" i="1"/>
  <c r="P15" i="1"/>
  <c r="O14" i="1"/>
  <c r="N14" i="1"/>
  <c r="M14" i="1"/>
  <c r="L14" i="1"/>
  <c r="K14" i="1"/>
  <c r="J14" i="1"/>
  <c r="H14" i="1"/>
  <c r="G14" i="1"/>
  <c r="F14" i="1"/>
  <c r="E14" i="1"/>
  <c r="D14" i="1"/>
  <c r="C14" i="1"/>
  <c r="B14" i="1"/>
  <c r="I13" i="1"/>
  <c r="I14" i="1" s="1"/>
  <c r="P12" i="1"/>
  <c r="M11" i="1"/>
  <c r="M23" i="1" s="1"/>
  <c r="M24" i="1" s="1"/>
  <c r="L11" i="1"/>
  <c r="K11" i="1"/>
  <c r="G11" i="1"/>
  <c r="G23" i="1" s="1"/>
  <c r="G24" i="1" s="1"/>
  <c r="F11" i="1"/>
  <c r="E11" i="1"/>
  <c r="E23" i="1" s="1"/>
  <c r="E24" i="1" s="1"/>
  <c r="D11" i="1"/>
  <c r="D23" i="1" s="1"/>
  <c r="D24" i="1" s="1"/>
  <c r="C11" i="1"/>
  <c r="C23" i="1" s="1"/>
  <c r="C24" i="1" s="1"/>
  <c r="B11" i="1"/>
  <c r="N10" i="1"/>
  <c r="E10" i="1"/>
  <c r="I9" i="1"/>
  <c r="I11" i="1" s="1"/>
  <c r="O8" i="1"/>
  <c r="J8" i="1"/>
  <c r="J11" i="1" s="1"/>
  <c r="H8" i="1"/>
  <c r="H11" i="1" s="1"/>
  <c r="H23" i="1" s="1"/>
  <c r="H24" i="1" s="1"/>
  <c r="P7" i="1"/>
  <c r="P43" i="1" l="1"/>
  <c r="J23" i="1"/>
  <c r="J24" i="1" s="1"/>
  <c r="P30" i="1"/>
  <c r="M58" i="1"/>
  <c r="P10" i="1"/>
  <c r="K23" i="1"/>
  <c r="K24" i="1" s="1"/>
  <c r="K59" i="1" s="1"/>
  <c r="K60" i="1" s="1"/>
  <c r="J58" i="1"/>
  <c r="P8" i="1"/>
  <c r="P13" i="1"/>
  <c r="I19" i="1"/>
  <c r="B58" i="1"/>
  <c r="P31" i="1"/>
  <c r="P14" i="1"/>
  <c r="L23" i="1"/>
  <c r="L24" i="1" s="1"/>
  <c r="L59" i="1" s="1"/>
  <c r="L60" i="1" s="1"/>
  <c r="F58" i="1"/>
  <c r="O58" i="1"/>
  <c r="P51" i="1"/>
  <c r="P57" i="1"/>
  <c r="G59" i="1"/>
  <c r="G60" i="1" s="1"/>
  <c r="I23" i="1"/>
  <c r="I24" i="1" s="1"/>
  <c r="L58" i="1"/>
  <c r="P35" i="1"/>
  <c r="E58" i="1"/>
  <c r="P47" i="1"/>
  <c r="E59" i="1"/>
  <c r="E60" i="1" s="1"/>
  <c r="D58" i="1"/>
  <c r="D59" i="1" s="1"/>
  <c r="D60" i="1" s="1"/>
  <c r="P56" i="1"/>
  <c r="P40" i="1"/>
  <c r="K58" i="1"/>
  <c r="N58" i="1"/>
  <c r="I44" i="1"/>
  <c r="I58" i="1" s="1"/>
  <c r="P19" i="1"/>
  <c r="M59" i="1"/>
  <c r="M60" i="1" s="1"/>
  <c r="P34" i="1"/>
  <c r="C44" i="1"/>
  <c r="P44" i="1" s="1"/>
  <c r="D53" i="1"/>
  <c r="P55" i="1"/>
  <c r="P9" i="1"/>
  <c r="N11" i="1"/>
  <c r="N23" i="1" s="1"/>
  <c r="N24" i="1" s="1"/>
  <c r="N59" i="1" s="1"/>
  <c r="N60" i="1" s="1"/>
  <c r="P16" i="1"/>
  <c r="P37" i="1"/>
  <c r="P46" i="1"/>
  <c r="O11" i="1"/>
  <c r="O23" i="1" s="1"/>
  <c r="O24" i="1" s="1"/>
  <c r="O59" i="1" s="1"/>
  <c r="O60" i="1" s="1"/>
  <c r="P26" i="1"/>
  <c r="P18" i="1"/>
  <c r="F22" i="1"/>
  <c r="F23" i="1" s="1"/>
  <c r="F24" i="1" s="1"/>
  <c r="B23" i="1"/>
  <c r="P28" i="1"/>
  <c r="H53" i="1"/>
  <c r="H58" i="1" s="1"/>
  <c r="H59" i="1" s="1"/>
  <c r="H60" i="1" s="1"/>
  <c r="P39" i="1"/>
  <c r="P49" i="1"/>
  <c r="C58" i="1" l="1"/>
  <c r="C59" i="1" s="1"/>
  <c r="C60" i="1" s="1"/>
  <c r="F59" i="1"/>
  <c r="F60" i="1" s="1"/>
  <c r="J59" i="1"/>
  <c r="J60" i="1" s="1"/>
  <c r="P53" i="1"/>
  <c r="B24" i="1"/>
  <c r="P23" i="1"/>
  <c r="P58" i="1"/>
  <c r="I59" i="1"/>
  <c r="I60" i="1" s="1"/>
  <c r="P11" i="1"/>
  <c r="P22" i="1"/>
  <c r="B59" i="1" l="1"/>
  <c r="P24" i="1"/>
  <c r="B60" i="1" l="1"/>
  <c r="P60" i="1" s="1"/>
  <c r="P59" i="1"/>
</calcChain>
</file>

<file path=xl/sharedStrings.xml><?xml version="1.0" encoding="utf-8"?>
<sst xmlns="http://schemas.openxmlformats.org/spreadsheetml/2006/main" count="73" uniqueCount="73">
  <si>
    <t>Baseball Boosters</t>
  </si>
  <si>
    <t>Boys Basketball Boosters</t>
  </si>
  <si>
    <t>Boys Fencing</t>
  </si>
  <si>
    <t>Boys Lacrosse Boosters</t>
  </si>
  <si>
    <t>Boys Soccer</t>
  </si>
  <si>
    <t>Cross Country Boosters</t>
  </si>
  <si>
    <t>Football Boosters</t>
  </si>
  <si>
    <t>General Fund</t>
  </si>
  <si>
    <t>Girls Basketball Boosters</t>
  </si>
  <si>
    <t>Girls Soccer Boosters</t>
  </si>
  <si>
    <t>Girls Volleyball</t>
  </si>
  <si>
    <t>Gymnastics Boosters</t>
  </si>
  <si>
    <t>Hockey Boosters</t>
  </si>
  <si>
    <t>Track Boosters</t>
  </si>
  <si>
    <t>TOTAL</t>
  </si>
  <si>
    <t>Income</t>
  </si>
  <si>
    <t xml:space="preserve">   43400 Direct Public Support</t>
  </si>
  <si>
    <t xml:space="preserve">      43415 Individual Contributions</t>
  </si>
  <si>
    <t xml:space="preserve">      43420 General Membership</t>
  </si>
  <si>
    <t xml:space="preserve">      43425 Team Specific Dues</t>
  </si>
  <si>
    <t xml:space="preserve">   Total 43400 Direct Public Support</t>
  </si>
  <si>
    <t xml:space="preserve">   45000 Investments</t>
  </si>
  <si>
    <t xml:space="preserve">      45030 Interest-Savings, Short-term CD</t>
  </si>
  <si>
    <t xml:space="preserve">   Total 45000 Investments</t>
  </si>
  <si>
    <t xml:space="preserve">   46400 Other Types of Income</t>
  </si>
  <si>
    <t xml:space="preserve">      46422 Merchandise Sales-Apparel</t>
  </si>
  <si>
    <t xml:space="preserve">      46423 Magnet Sales</t>
  </si>
  <si>
    <t xml:space="preserve">      46426 Merchandise Sales-Team Concess</t>
  </si>
  <si>
    <t xml:space="preserve">   Total 46400 Other Types of Income</t>
  </si>
  <si>
    <t xml:space="preserve">   49000 Special Events Income</t>
  </si>
  <si>
    <t xml:space="preserve">      49100 Team Dinner Ticket Sales</t>
  </si>
  <si>
    <t xml:space="preserve">   Total 49000 Special Events Income</t>
  </si>
  <si>
    <t>Total Income</t>
  </si>
  <si>
    <t>Gross Profit</t>
  </si>
  <si>
    <t>Expenses</t>
  </si>
  <si>
    <t xml:space="preserve">   50600 Cost of Concession Stand Invent</t>
  </si>
  <si>
    <t xml:space="preserve">      50626 Consession Revenue Allocation</t>
  </si>
  <si>
    <t xml:space="preserve">   Total 50600 Cost of Concession Stand Invent</t>
  </si>
  <si>
    <t xml:space="preserve">   50700 Cost of Sales - Inventory Sales</t>
  </si>
  <si>
    <t xml:space="preserve">      50750 Cost of Sales-Fundraising</t>
  </si>
  <si>
    <t xml:space="preserve">   Total 50700 Cost of Sales - Inventory Sales</t>
  </si>
  <si>
    <t xml:space="preserve">   60350 Donations</t>
  </si>
  <si>
    <t xml:space="preserve">   60900 Business Expenses</t>
  </si>
  <si>
    <t xml:space="preserve">      60910 Team Dinner Catering</t>
  </si>
  <si>
    <t xml:space="preserve">   Total 60900 Business Expenses</t>
  </si>
  <si>
    <t xml:space="preserve">   62100 Contract Services</t>
  </si>
  <si>
    <t xml:space="preserve">      62110 Accounting Fees</t>
  </si>
  <si>
    <t xml:space="preserve">      62120 Website related expenses</t>
  </si>
  <si>
    <t xml:space="preserve">         62125 Website maintenance fees</t>
  </si>
  <si>
    <t xml:space="preserve">      Total 62120 Website related expenses</t>
  </si>
  <si>
    <t xml:space="preserve">      62150 Outside Contract Services</t>
  </si>
  <si>
    <t xml:space="preserve">         62170 Coaching Tools</t>
  </si>
  <si>
    <t xml:space="preserve">      Total 62150 Outside Contract Services</t>
  </si>
  <si>
    <t xml:space="preserve">   Total 62100 Contract Services</t>
  </si>
  <si>
    <t xml:space="preserve">   62800 Facilities and Equipment</t>
  </si>
  <si>
    <t xml:space="preserve">      62820 Team Equipment</t>
  </si>
  <si>
    <t xml:space="preserve">   Total 62800 Facilities and Equipment</t>
  </si>
  <si>
    <t xml:space="preserve">   65000 Operations</t>
  </si>
  <si>
    <t xml:space="preserve">      65030 Printing and Copying</t>
  </si>
  <si>
    <t xml:space="preserve">      65032 Program Printing &amp; Design FR</t>
  </si>
  <si>
    <t xml:space="preserve">      65045 Uniforms &amp; Practice Apparel</t>
  </si>
  <si>
    <t xml:space="preserve">      65060 Meals &amp; Catering</t>
  </si>
  <si>
    <t xml:space="preserve">   Total 65000 Operations</t>
  </si>
  <si>
    <t xml:space="preserve">   65100 Other Types of Expenses</t>
  </si>
  <si>
    <t xml:space="preserve">      65160 Other Costs</t>
  </si>
  <si>
    <t xml:space="preserve">   Total 65100 Other Types of Expenses</t>
  </si>
  <si>
    <t xml:space="preserve">   65200 Senior night</t>
  </si>
  <si>
    <t>Total Expenses</t>
  </si>
  <si>
    <t>Net Operating Income</t>
  </si>
  <si>
    <t>Net Income</t>
  </si>
  <si>
    <t>Ramapo Athletic Boosters Inc.</t>
  </si>
  <si>
    <t>Profit and Loss by Class</t>
  </si>
  <si>
    <t>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</si>
</sst>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workbookViewId="0">
      <selection activeCell="B66" sqref="B66"/>
    </sheetView>
  </sheetViews>
  <sheetFormatPr defaultRowHeight="14.4" x14ac:dyDescent="0.3"/>
  <cols>
    <col min="1" max="1" width="40.44140625" customWidth="1"/>
    <col min="2" max="2" width="12.33203125" customWidth="1"/>
    <col min="3" max="3" width="12" customWidth="1"/>
    <col min="4" max="4" width="13.77734375" customWidth="1"/>
    <col min="5" max="5" width="13.44140625" customWidth="1"/>
    <col min="6" max="6" width="10.109375" customWidth="1"/>
    <col min="7" max="7" width="12.44140625" customWidth="1"/>
    <col min="8" max="8" width="11.21875" customWidth="1"/>
    <col min="9" max="9" width="11.109375" customWidth="1"/>
    <col min="10" max="10" width="14" customWidth="1"/>
    <col min="11" max="11" width="13.21875" customWidth="1"/>
    <col min="12" max="12" width="12.77734375" customWidth="1"/>
    <col min="13" max="13" width="12.21875" customWidth="1"/>
    <col min="14" max="14" width="10.6640625" customWidth="1"/>
    <col min="15" max="15" width="11" customWidth="1"/>
    <col min="16" max="16" width="11.21875" customWidth="1"/>
  </cols>
  <sheetData>
    <row r="1" spans="1:16" ht="17.399999999999999" x14ac:dyDescent="0.3">
      <c r="A1" s="9" t="s">
        <v>70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7.399999999999999" x14ac:dyDescent="0.3">
      <c r="A2" s="9" t="s">
        <v>71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x14ac:dyDescent="0.3">
      <c r="A3" s="10" t="s">
        <v>72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5" spans="1:16" ht="60.6" x14ac:dyDescent="0.3">
      <c r="A5" s="1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  <c r="P5" s="2" t="s">
        <v>14</v>
      </c>
    </row>
    <row r="6" spans="1:16" x14ac:dyDescent="0.3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3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>
        <f t="shared" ref="P7:P24" si="0">(((((((((((((B7)+(C7))+(D7))+(E7))+(F7))+(G7))+(H7))+(I7))+(J7))+(K7))+(L7))+(M7))+(N7))+(O7)</f>
        <v>0</v>
      </c>
    </row>
    <row r="8" spans="1:16" x14ac:dyDescent="0.3">
      <c r="A8" s="3" t="s">
        <v>17</v>
      </c>
      <c r="B8" s="4"/>
      <c r="C8" s="4"/>
      <c r="D8" s="4"/>
      <c r="E8" s="4"/>
      <c r="F8" s="4"/>
      <c r="G8" s="4"/>
      <c r="H8" s="5">
        <f>3000</f>
        <v>3000</v>
      </c>
      <c r="I8" s="4"/>
      <c r="J8" s="5">
        <f>193.9</f>
        <v>193.9</v>
      </c>
      <c r="K8" s="4"/>
      <c r="L8" s="4"/>
      <c r="M8" s="4"/>
      <c r="N8" s="4"/>
      <c r="O8" s="5">
        <f>1000</f>
        <v>1000</v>
      </c>
      <c r="P8" s="5">
        <f t="shared" si="0"/>
        <v>4193.8999999999996</v>
      </c>
    </row>
    <row r="9" spans="1:16" x14ac:dyDescent="0.3">
      <c r="A9" s="3" t="s">
        <v>18</v>
      </c>
      <c r="B9" s="4"/>
      <c r="C9" s="4"/>
      <c r="D9" s="4"/>
      <c r="E9" s="4"/>
      <c r="F9" s="4"/>
      <c r="G9" s="4"/>
      <c r="H9" s="4"/>
      <c r="I9" s="5">
        <f>1160.32</f>
        <v>1160.32</v>
      </c>
      <c r="J9" s="4"/>
      <c r="K9" s="4"/>
      <c r="L9" s="4"/>
      <c r="M9" s="4"/>
      <c r="N9" s="4"/>
      <c r="O9" s="4"/>
      <c r="P9" s="5">
        <f t="shared" si="0"/>
        <v>1160.32</v>
      </c>
    </row>
    <row r="10" spans="1:16" x14ac:dyDescent="0.3">
      <c r="A10" s="3" t="s">
        <v>19</v>
      </c>
      <c r="B10" s="4"/>
      <c r="C10" s="4"/>
      <c r="D10" s="4"/>
      <c r="E10" s="5">
        <f>8025</f>
        <v>8025</v>
      </c>
      <c r="F10" s="4"/>
      <c r="G10" s="4"/>
      <c r="H10" s="4"/>
      <c r="I10" s="4"/>
      <c r="J10" s="4"/>
      <c r="K10" s="4"/>
      <c r="L10" s="4"/>
      <c r="M10" s="4"/>
      <c r="N10" s="5">
        <f>1000</f>
        <v>1000</v>
      </c>
      <c r="O10" s="4"/>
      <c r="P10" s="5">
        <f t="shared" si="0"/>
        <v>9025</v>
      </c>
    </row>
    <row r="11" spans="1:16" x14ac:dyDescent="0.3">
      <c r="A11" s="3" t="s">
        <v>20</v>
      </c>
      <c r="B11" s="6">
        <f t="shared" ref="B11:O11" si="1">(((B7)+(B8))+(B9))+(B10)</f>
        <v>0</v>
      </c>
      <c r="C11" s="6">
        <f t="shared" si="1"/>
        <v>0</v>
      </c>
      <c r="D11" s="6">
        <f t="shared" si="1"/>
        <v>0</v>
      </c>
      <c r="E11" s="6">
        <f t="shared" si="1"/>
        <v>8025</v>
      </c>
      <c r="F11" s="6">
        <f t="shared" si="1"/>
        <v>0</v>
      </c>
      <c r="G11" s="6">
        <f t="shared" si="1"/>
        <v>0</v>
      </c>
      <c r="H11" s="6">
        <f t="shared" si="1"/>
        <v>3000</v>
      </c>
      <c r="I11" s="6">
        <f t="shared" si="1"/>
        <v>1160.32</v>
      </c>
      <c r="J11" s="6">
        <f t="shared" si="1"/>
        <v>193.9</v>
      </c>
      <c r="K11" s="6">
        <f t="shared" si="1"/>
        <v>0</v>
      </c>
      <c r="L11" s="6">
        <f t="shared" si="1"/>
        <v>0</v>
      </c>
      <c r="M11" s="6">
        <f t="shared" si="1"/>
        <v>0</v>
      </c>
      <c r="N11" s="6">
        <f t="shared" si="1"/>
        <v>1000</v>
      </c>
      <c r="O11" s="6">
        <f t="shared" si="1"/>
        <v>1000</v>
      </c>
      <c r="P11" s="6">
        <f t="shared" si="0"/>
        <v>14379.22</v>
      </c>
    </row>
    <row r="12" spans="1:16" x14ac:dyDescent="0.3">
      <c r="A12" s="3" t="s">
        <v>21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>
        <f t="shared" si="0"/>
        <v>0</v>
      </c>
    </row>
    <row r="13" spans="1:16" x14ac:dyDescent="0.3">
      <c r="A13" s="3" t="s">
        <v>22</v>
      </c>
      <c r="B13" s="4"/>
      <c r="C13" s="4"/>
      <c r="D13" s="4"/>
      <c r="E13" s="4"/>
      <c r="F13" s="4"/>
      <c r="G13" s="4"/>
      <c r="H13" s="4"/>
      <c r="I13" s="5">
        <f>7.33</f>
        <v>7.33</v>
      </c>
      <c r="J13" s="4"/>
      <c r="K13" s="4"/>
      <c r="L13" s="4"/>
      <c r="M13" s="4"/>
      <c r="N13" s="4"/>
      <c r="O13" s="4"/>
      <c r="P13" s="5">
        <f t="shared" si="0"/>
        <v>7.33</v>
      </c>
    </row>
    <row r="14" spans="1:16" x14ac:dyDescent="0.3">
      <c r="A14" s="3" t="s">
        <v>23</v>
      </c>
      <c r="B14" s="6">
        <f t="shared" ref="B14:O14" si="2">(B12)+(B13)</f>
        <v>0</v>
      </c>
      <c r="C14" s="6">
        <f t="shared" si="2"/>
        <v>0</v>
      </c>
      <c r="D14" s="6">
        <f t="shared" si="2"/>
        <v>0</v>
      </c>
      <c r="E14" s="6">
        <f t="shared" si="2"/>
        <v>0</v>
      </c>
      <c r="F14" s="6">
        <f t="shared" si="2"/>
        <v>0</v>
      </c>
      <c r="G14" s="6">
        <f t="shared" si="2"/>
        <v>0</v>
      </c>
      <c r="H14" s="6">
        <f t="shared" si="2"/>
        <v>0</v>
      </c>
      <c r="I14" s="6">
        <f t="shared" si="2"/>
        <v>7.33</v>
      </c>
      <c r="J14" s="6">
        <f t="shared" si="2"/>
        <v>0</v>
      </c>
      <c r="K14" s="6">
        <f t="shared" si="2"/>
        <v>0</v>
      </c>
      <c r="L14" s="6">
        <f t="shared" si="2"/>
        <v>0</v>
      </c>
      <c r="M14" s="6">
        <f t="shared" si="2"/>
        <v>0</v>
      </c>
      <c r="N14" s="6">
        <f t="shared" si="2"/>
        <v>0</v>
      </c>
      <c r="O14" s="6">
        <f t="shared" si="2"/>
        <v>0</v>
      </c>
      <c r="P14" s="6">
        <f t="shared" si="0"/>
        <v>7.33</v>
      </c>
    </row>
    <row r="15" spans="1:16" x14ac:dyDescent="0.3">
      <c r="A15" s="3" t="s">
        <v>24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5">
        <f t="shared" si="0"/>
        <v>0</v>
      </c>
    </row>
    <row r="16" spans="1:16" x14ac:dyDescent="0.3">
      <c r="A16" s="3" t="s">
        <v>25</v>
      </c>
      <c r="B16" s="4"/>
      <c r="C16" s="4"/>
      <c r="D16" s="4"/>
      <c r="E16" s="4"/>
      <c r="F16" s="4"/>
      <c r="G16" s="4"/>
      <c r="H16" s="4"/>
      <c r="I16" s="5">
        <f>49.1</f>
        <v>49.1</v>
      </c>
      <c r="J16" s="4"/>
      <c r="K16" s="4"/>
      <c r="L16" s="4"/>
      <c r="M16" s="4"/>
      <c r="N16" s="5">
        <f>134.09</f>
        <v>134.09</v>
      </c>
      <c r="O16" s="4"/>
      <c r="P16" s="5">
        <f t="shared" si="0"/>
        <v>183.19</v>
      </c>
    </row>
    <row r="17" spans="1:16" x14ac:dyDescent="0.3">
      <c r="A17" s="3" t="s">
        <v>26</v>
      </c>
      <c r="B17" s="4"/>
      <c r="C17" s="4"/>
      <c r="D17" s="4"/>
      <c r="E17" s="4"/>
      <c r="F17" s="4"/>
      <c r="G17" s="4"/>
      <c r="H17" s="4"/>
      <c r="I17" s="5">
        <f>15.36</f>
        <v>15.36</v>
      </c>
      <c r="J17" s="4"/>
      <c r="K17" s="4"/>
      <c r="L17" s="4"/>
      <c r="M17" s="4"/>
      <c r="N17" s="4"/>
      <c r="O17" s="4"/>
      <c r="P17" s="5">
        <f t="shared" si="0"/>
        <v>15.36</v>
      </c>
    </row>
    <row r="18" spans="1:16" x14ac:dyDescent="0.3">
      <c r="A18" s="3" t="s">
        <v>27</v>
      </c>
      <c r="B18" s="4"/>
      <c r="C18" s="4"/>
      <c r="D18" s="4"/>
      <c r="E18" s="4"/>
      <c r="F18" s="5">
        <f>1410</f>
        <v>1410</v>
      </c>
      <c r="G18" s="4"/>
      <c r="H18" s="4"/>
      <c r="I18" s="5">
        <f>800</f>
        <v>800</v>
      </c>
      <c r="J18" s="4"/>
      <c r="K18" s="4"/>
      <c r="L18" s="4"/>
      <c r="M18" s="4"/>
      <c r="N18" s="4"/>
      <c r="O18" s="5">
        <f>350</f>
        <v>350</v>
      </c>
      <c r="P18" s="5">
        <f t="shared" si="0"/>
        <v>2560</v>
      </c>
    </row>
    <row r="19" spans="1:16" x14ac:dyDescent="0.3">
      <c r="A19" s="3" t="s">
        <v>28</v>
      </c>
      <c r="B19" s="6">
        <f t="shared" ref="B19:O19" si="3">(((B15)+(B16))+(B17))+(B18)</f>
        <v>0</v>
      </c>
      <c r="C19" s="6">
        <f t="shared" si="3"/>
        <v>0</v>
      </c>
      <c r="D19" s="6">
        <f t="shared" si="3"/>
        <v>0</v>
      </c>
      <c r="E19" s="6">
        <f t="shared" si="3"/>
        <v>0</v>
      </c>
      <c r="F19" s="6">
        <f t="shared" si="3"/>
        <v>1410</v>
      </c>
      <c r="G19" s="6">
        <f t="shared" si="3"/>
        <v>0</v>
      </c>
      <c r="H19" s="6">
        <f t="shared" si="3"/>
        <v>0</v>
      </c>
      <c r="I19" s="6">
        <f t="shared" si="3"/>
        <v>864.46</v>
      </c>
      <c r="J19" s="6">
        <f t="shared" si="3"/>
        <v>0</v>
      </c>
      <c r="K19" s="6">
        <f t="shared" si="3"/>
        <v>0</v>
      </c>
      <c r="L19" s="6">
        <f t="shared" si="3"/>
        <v>0</v>
      </c>
      <c r="M19" s="6">
        <f t="shared" si="3"/>
        <v>0</v>
      </c>
      <c r="N19" s="6">
        <f t="shared" si="3"/>
        <v>134.09</v>
      </c>
      <c r="O19" s="6">
        <f t="shared" si="3"/>
        <v>350</v>
      </c>
      <c r="P19" s="6">
        <f t="shared" si="0"/>
        <v>2758.55</v>
      </c>
    </row>
    <row r="20" spans="1:16" x14ac:dyDescent="0.3">
      <c r="A20" s="3" t="s">
        <v>29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>
        <f t="shared" si="0"/>
        <v>0</v>
      </c>
    </row>
    <row r="21" spans="1:16" x14ac:dyDescent="0.3">
      <c r="A21" s="3" t="s">
        <v>30</v>
      </c>
      <c r="B21" s="4"/>
      <c r="C21" s="4"/>
      <c r="D21" s="4"/>
      <c r="E21" s="4"/>
      <c r="F21" s="5">
        <f>6545</f>
        <v>6545</v>
      </c>
      <c r="G21" s="4"/>
      <c r="H21" s="4"/>
      <c r="I21" s="4"/>
      <c r="J21" s="4"/>
      <c r="K21" s="4"/>
      <c r="L21" s="4"/>
      <c r="M21" s="5">
        <f>675</f>
        <v>675</v>
      </c>
      <c r="N21" s="5">
        <f>4150</f>
        <v>4150</v>
      </c>
      <c r="O21" s="4"/>
      <c r="P21" s="5">
        <f t="shared" si="0"/>
        <v>11370</v>
      </c>
    </row>
    <row r="22" spans="1:16" x14ac:dyDescent="0.3">
      <c r="A22" s="3" t="s">
        <v>31</v>
      </c>
      <c r="B22" s="6">
        <f t="shared" ref="B22:O22" si="4">(B20)+(B21)</f>
        <v>0</v>
      </c>
      <c r="C22" s="6">
        <f t="shared" si="4"/>
        <v>0</v>
      </c>
      <c r="D22" s="6">
        <f t="shared" si="4"/>
        <v>0</v>
      </c>
      <c r="E22" s="6">
        <f t="shared" si="4"/>
        <v>0</v>
      </c>
      <c r="F22" s="6">
        <f t="shared" si="4"/>
        <v>6545</v>
      </c>
      <c r="G22" s="6">
        <f t="shared" si="4"/>
        <v>0</v>
      </c>
      <c r="H22" s="6">
        <f t="shared" si="4"/>
        <v>0</v>
      </c>
      <c r="I22" s="6">
        <f t="shared" si="4"/>
        <v>0</v>
      </c>
      <c r="J22" s="6">
        <f t="shared" si="4"/>
        <v>0</v>
      </c>
      <c r="K22" s="6">
        <f t="shared" si="4"/>
        <v>0</v>
      </c>
      <c r="L22" s="6">
        <f t="shared" si="4"/>
        <v>0</v>
      </c>
      <c r="M22" s="6">
        <f t="shared" si="4"/>
        <v>675</v>
      </c>
      <c r="N22" s="6">
        <f t="shared" si="4"/>
        <v>4150</v>
      </c>
      <c r="O22" s="6">
        <f t="shared" si="4"/>
        <v>0</v>
      </c>
      <c r="P22" s="6">
        <f t="shared" si="0"/>
        <v>11370</v>
      </c>
    </row>
    <row r="23" spans="1:16" x14ac:dyDescent="0.3">
      <c r="A23" s="3" t="s">
        <v>32</v>
      </c>
      <c r="B23" s="6">
        <f t="shared" ref="B23:O23" si="5">(((B11)+(B14))+(B19))+(B22)</f>
        <v>0</v>
      </c>
      <c r="C23" s="6">
        <f t="shared" si="5"/>
        <v>0</v>
      </c>
      <c r="D23" s="6">
        <f t="shared" si="5"/>
        <v>0</v>
      </c>
      <c r="E23" s="6">
        <f t="shared" si="5"/>
        <v>8025</v>
      </c>
      <c r="F23" s="6">
        <f t="shared" si="5"/>
        <v>7955</v>
      </c>
      <c r="G23" s="6">
        <f t="shared" si="5"/>
        <v>0</v>
      </c>
      <c r="H23" s="6">
        <f t="shared" si="5"/>
        <v>3000</v>
      </c>
      <c r="I23" s="6">
        <f t="shared" si="5"/>
        <v>2032.11</v>
      </c>
      <c r="J23" s="6">
        <f t="shared" si="5"/>
        <v>193.9</v>
      </c>
      <c r="K23" s="6">
        <f t="shared" si="5"/>
        <v>0</v>
      </c>
      <c r="L23" s="6">
        <f t="shared" si="5"/>
        <v>0</v>
      </c>
      <c r="M23" s="6">
        <f t="shared" si="5"/>
        <v>675</v>
      </c>
      <c r="N23" s="6">
        <f t="shared" si="5"/>
        <v>5284.09</v>
      </c>
      <c r="O23" s="6">
        <f t="shared" si="5"/>
        <v>1350</v>
      </c>
      <c r="P23" s="6">
        <f t="shared" si="0"/>
        <v>28515.100000000002</v>
      </c>
    </row>
    <row r="24" spans="1:16" x14ac:dyDescent="0.3">
      <c r="A24" s="3" t="s">
        <v>33</v>
      </c>
      <c r="B24" s="6">
        <f t="shared" ref="B24:O24" si="6">(B23)-(0)</f>
        <v>0</v>
      </c>
      <c r="C24" s="6">
        <f t="shared" si="6"/>
        <v>0</v>
      </c>
      <c r="D24" s="6">
        <f t="shared" si="6"/>
        <v>0</v>
      </c>
      <c r="E24" s="6">
        <f t="shared" si="6"/>
        <v>8025</v>
      </c>
      <c r="F24" s="6">
        <f t="shared" si="6"/>
        <v>7955</v>
      </c>
      <c r="G24" s="6">
        <f t="shared" si="6"/>
        <v>0</v>
      </c>
      <c r="H24" s="6">
        <f t="shared" si="6"/>
        <v>3000</v>
      </c>
      <c r="I24" s="6">
        <f t="shared" si="6"/>
        <v>2032.11</v>
      </c>
      <c r="J24" s="6">
        <f t="shared" si="6"/>
        <v>193.9</v>
      </c>
      <c r="K24" s="6">
        <f t="shared" si="6"/>
        <v>0</v>
      </c>
      <c r="L24" s="6">
        <f t="shared" si="6"/>
        <v>0</v>
      </c>
      <c r="M24" s="6">
        <f t="shared" si="6"/>
        <v>675</v>
      </c>
      <c r="N24" s="6">
        <f t="shared" si="6"/>
        <v>5284.09</v>
      </c>
      <c r="O24" s="6">
        <f t="shared" si="6"/>
        <v>1350</v>
      </c>
      <c r="P24" s="6">
        <f t="shared" si="0"/>
        <v>28515.100000000002</v>
      </c>
    </row>
    <row r="25" spans="1:16" x14ac:dyDescent="0.3">
      <c r="A25" s="3" t="s">
        <v>34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3">
      <c r="A26" s="3" t="s">
        <v>35</v>
      </c>
      <c r="B26" s="4"/>
      <c r="C26" s="4"/>
      <c r="D26" s="4"/>
      <c r="E26" s="4"/>
      <c r="F26" s="4"/>
      <c r="G26" s="4"/>
      <c r="H26" s="4"/>
      <c r="I26" s="5">
        <f>1037.44</f>
        <v>1037.44</v>
      </c>
      <c r="J26" s="4"/>
      <c r="K26" s="4"/>
      <c r="L26" s="4"/>
      <c r="M26" s="4"/>
      <c r="N26" s="4"/>
      <c r="O26" s="4"/>
      <c r="P26" s="5">
        <f t="shared" ref="P26:P60" si="7">(((((((((((((B26)+(C26))+(D26))+(E26))+(F26))+(G26))+(H26))+(I26))+(J26))+(K26))+(L26))+(M26))+(N26))+(O26)</f>
        <v>1037.44</v>
      </c>
    </row>
    <row r="27" spans="1:16" x14ac:dyDescent="0.3">
      <c r="A27" s="3" t="s">
        <v>36</v>
      </c>
      <c r="B27" s="4"/>
      <c r="C27" s="4"/>
      <c r="D27" s="4"/>
      <c r="E27" s="4"/>
      <c r="F27" s="4"/>
      <c r="G27" s="4"/>
      <c r="H27" s="4"/>
      <c r="I27" s="5">
        <f>-150</f>
        <v>-150</v>
      </c>
      <c r="J27" s="4"/>
      <c r="K27" s="4"/>
      <c r="L27" s="4"/>
      <c r="M27" s="4"/>
      <c r="N27" s="4"/>
      <c r="O27" s="4"/>
      <c r="P27" s="5">
        <f t="shared" si="7"/>
        <v>-150</v>
      </c>
    </row>
    <row r="28" spans="1:16" x14ac:dyDescent="0.3">
      <c r="A28" s="3" t="s">
        <v>37</v>
      </c>
      <c r="B28" s="6">
        <f t="shared" ref="B28:O28" si="8">(B26)+(B27)</f>
        <v>0</v>
      </c>
      <c r="C28" s="6">
        <f t="shared" si="8"/>
        <v>0</v>
      </c>
      <c r="D28" s="6">
        <f t="shared" si="8"/>
        <v>0</v>
      </c>
      <c r="E28" s="6">
        <f t="shared" si="8"/>
        <v>0</v>
      </c>
      <c r="F28" s="6">
        <f t="shared" si="8"/>
        <v>0</v>
      </c>
      <c r="G28" s="6">
        <f t="shared" si="8"/>
        <v>0</v>
      </c>
      <c r="H28" s="6">
        <f t="shared" si="8"/>
        <v>0</v>
      </c>
      <c r="I28" s="6">
        <f t="shared" si="8"/>
        <v>887.44</v>
      </c>
      <c r="J28" s="6">
        <f t="shared" si="8"/>
        <v>0</v>
      </c>
      <c r="K28" s="6">
        <f t="shared" si="8"/>
        <v>0</v>
      </c>
      <c r="L28" s="6">
        <f t="shared" si="8"/>
        <v>0</v>
      </c>
      <c r="M28" s="6">
        <f t="shared" si="8"/>
        <v>0</v>
      </c>
      <c r="N28" s="6">
        <f t="shared" si="8"/>
        <v>0</v>
      </c>
      <c r="O28" s="6">
        <f t="shared" si="8"/>
        <v>0</v>
      </c>
      <c r="P28" s="6">
        <f t="shared" si="7"/>
        <v>887.44</v>
      </c>
    </row>
    <row r="29" spans="1:16" x14ac:dyDescent="0.3">
      <c r="A29" s="3" t="s">
        <v>38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5">
        <f t="shared" si="7"/>
        <v>0</v>
      </c>
    </row>
    <row r="30" spans="1:16" x14ac:dyDescent="0.3">
      <c r="A30" s="3" t="s">
        <v>39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>
        <f>118.25</f>
        <v>118.25</v>
      </c>
      <c r="O30" s="4"/>
      <c r="P30" s="5">
        <f t="shared" si="7"/>
        <v>118.25</v>
      </c>
    </row>
    <row r="31" spans="1:16" x14ac:dyDescent="0.3">
      <c r="A31" s="3" t="s">
        <v>40</v>
      </c>
      <c r="B31" s="6">
        <f t="shared" ref="B31:O31" si="9">(B29)+(B30)</f>
        <v>0</v>
      </c>
      <c r="C31" s="6">
        <f t="shared" si="9"/>
        <v>0</v>
      </c>
      <c r="D31" s="6">
        <f t="shared" si="9"/>
        <v>0</v>
      </c>
      <c r="E31" s="6">
        <f t="shared" si="9"/>
        <v>0</v>
      </c>
      <c r="F31" s="6">
        <f t="shared" si="9"/>
        <v>0</v>
      </c>
      <c r="G31" s="6">
        <f t="shared" si="9"/>
        <v>0</v>
      </c>
      <c r="H31" s="6">
        <f t="shared" si="9"/>
        <v>0</v>
      </c>
      <c r="I31" s="6">
        <f t="shared" si="9"/>
        <v>0</v>
      </c>
      <c r="J31" s="6">
        <f t="shared" si="9"/>
        <v>0</v>
      </c>
      <c r="K31" s="6">
        <f t="shared" si="9"/>
        <v>0</v>
      </c>
      <c r="L31" s="6">
        <f t="shared" si="9"/>
        <v>0</v>
      </c>
      <c r="M31" s="6">
        <f t="shared" si="9"/>
        <v>0</v>
      </c>
      <c r="N31" s="6">
        <f t="shared" si="9"/>
        <v>118.25</v>
      </c>
      <c r="O31" s="6">
        <f t="shared" si="9"/>
        <v>0</v>
      </c>
      <c r="P31" s="6">
        <f t="shared" si="7"/>
        <v>118.25</v>
      </c>
    </row>
    <row r="32" spans="1:16" x14ac:dyDescent="0.3">
      <c r="A32" s="3" t="s">
        <v>41</v>
      </c>
      <c r="B32" s="4"/>
      <c r="C32" s="4"/>
      <c r="D32" s="4"/>
      <c r="E32" s="4"/>
      <c r="F32" s="4"/>
      <c r="G32" s="4"/>
      <c r="H32" s="5">
        <f>95.96</f>
        <v>95.96</v>
      </c>
      <c r="I32" s="4"/>
      <c r="J32" s="4"/>
      <c r="K32" s="5">
        <f>100</f>
        <v>100</v>
      </c>
      <c r="L32" s="4"/>
      <c r="M32" s="4"/>
      <c r="N32" s="4"/>
      <c r="O32" s="4"/>
      <c r="P32" s="5">
        <f t="shared" si="7"/>
        <v>195.95999999999998</v>
      </c>
    </row>
    <row r="33" spans="1:16" x14ac:dyDescent="0.3">
      <c r="A33" s="3" t="s">
        <v>42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5">
        <f t="shared" si="7"/>
        <v>0</v>
      </c>
    </row>
    <row r="34" spans="1:16" x14ac:dyDescent="0.3">
      <c r="A34" s="3" t="s">
        <v>43</v>
      </c>
      <c r="B34" s="4"/>
      <c r="C34" s="4"/>
      <c r="D34" s="4"/>
      <c r="E34" s="4"/>
      <c r="F34" s="4"/>
      <c r="G34" s="5">
        <f>357.21</f>
        <v>357.21</v>
      </c>
      <c r="H34" s="5">
        <f>4791.16</f>
        <v>4791.16</v>
      </c>
      <c r="I34" s="4"/>
      <c r="J34" s="4"/>
      <c r="K34" s="5">
        <f>605</f>
        <v>605</v>
      </c>
      <c r="L34" s="4"/>
      <c r="M34" s="5">
        <f>1134</f>
        <v>1134</v>
      </c>
      <c r="N34" s="5">
        <f>4283.67</f>
        <v>4283.67</v>
      </c>
      <c r="O34" s="4"/>
      <c r="P34" s="5">
        <f t="shared" si="7"/>
        <v>11171.04</v>
      </c>
    </row>
    <row r="35" spans="1:16" x14ac:dyDescent="0.3">
      <c r="A35" s="3" t="s">
        <v>44</v>
      </c>
      <c r="B35" s="6">
        <f t="shared" ref="B35:O35" si="10">(B33)+(B34)</f>
        <v>0</v>
      </c>
      <c r="C35" s="6">
        <f t="shared" si="10"/>
        <v>0</v>
      </c>
      <c r="D35" s="6">
        <f t="shared" si="10"/>
        <v>0</v>
      </c>
      <c r="E35" s="6">
        <f t="shared" si="10"/>
        <v>0</v>
      </c>
      <c r="F35" s="6">
        <f t="shared" si="10"/>
        <v>0</v>
      </c>
      <c r="G35" s="6">
        <f t="shared" si="10"/>
        <v>357.21</v>
      </c>
      <c r="H35" s="6">
        <f t="shared" si="10"/>
        <v>4791.16</v>
      </c>
      <c r="I35" s="6">
        <f t="shared" si="10"/>
        <v>0</v>
      </c>
      <c r="J35" s="6">
        <f t="shared" si="10"/>
        <v>0</v>
      </c>
      <c r="K35" s="6">
        <f t="shared" si="10"/>
        <v>605</v>
      </c>
      <c r="L35" s="6">
        <f t="shared" si="10"/>
        <v>0</v>
      </c>
      <c r="M35" s="6">
        <f t="shared" si="10"/>
        <v>1134</v>
      </c>
      <c r="N35" s="6">
        <f t="shared" si="10"/>
        <v>4283.67</v>
      </c>
      <c r="O35" s="6">
        <f t="shared" si="10"/>
        <v>0</v>
      </c>
      <c r="P35" s="6">
        <f t="shared" si="7"/>
        <v>11171.04</v>
      </c>
    </row>
    <row r="36" spans="1:16" x14ac:dyDescent="0.3">
      <c r="A36" s="3" t="s">
        <v>45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5">
        <f t="shared" si="7"/>
        <v>0</v>
      </c>
    </row>
    <row r="37" spans="1:16" x14ac:dyDescent="0.3">
      <c r="A37" s="3" t="s">
        <v>46</v>
      </c>
      <c r="B37" s="4"/>
      <c r="C37" s="4"/>
      <c r="D37" s="4"/>
      <c r="E37" s="4"/>
      <c r="F37" s="4"/>
      <c r="G37" s="4"/>
      <c r="H37" s="4"/>
      <c r="I37" s="5">
        <f>163</f>
        <v>163</v>
      </c>
      <c r="J37" s="4"/>
      <c r="K37" s="4"/>
      <c r="L37" s="4"/>
      <c r="M37" s="4"/>
      <c r="N37" s="4"/>
      <c r="O37" s="4"/>
      <c r="P37" s="5">
        <f t="shared" si="7"/>
        <v>163</v>
      </c>
    </row>
    <row r="38" spans="1:16" x14ac:dyDescent="0.3">
      <c r="A38" s="3" t="s">
        <v>47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5">
        <f t="shared" si="7"/>
        <v>0</v>
      </c>
    </row>
    <row r="39" spans="1:16" x14ac:dyDescent="0.3">
      <c r="A39" s="3" t="s">
        <v>48</v>
      </c>
      <c r="B39" s="4"/>
      <c r="C39" s="4"/>
      <c r="D39" s="4"/>
      <c r="E39" s="4"/>
      <c r="F39" s="4"/>
      <c r="G39" s="4"/>
      <c r="H39" s="4"/>
      <c r="I39" s="5">
        <f>36</f>
        <v>36</v>
      </c>
      <c r="J39" s="4"/>
      <c r="K39" s="4"/>
      <c r="L39" s="4"/>
      <c r="M39" s="4"/>
      <c r="N39" s="4"/>
      <c r="O39" s="4"/>
      <c r="P39" s="5">
        <f t="shared" si="7"/>
        <v>36</v>
      </c>
    </row>
    <row r="40" spans="1:16" x14ac:dyDescent="0.3">
      <c r="A40" s="3" t="s">
        <v>49</v>
      </c>
      <c r="B40" s="6">
        <f t="shared" ref="B40:O40" si="11">(B38)+(B39)</f>
        <v>0</v>
      </c>
      <c r="C40" s="6">
        <f t="shared" si="11"/>
        <v>0</v>
      </c>
      <c r="D40" s="6">
        <f t="shared" si="11"/>
        <v>0</v>
      </c>
      <c r="E40" s="6">
        <f t="shared" si="11"/>
        <v>0</v>
      </c>
      <c r="F40" s="6">
        <f t="shared" si="11"/>
        <v>0</v>
      </c>
      <c r="G40" s="6">
        <f t="shared" si="11"/>
        <v>0</v>
      </c>
      <c r="H40" s="6">
        <f t="shared" si="11"/>
        <v>0</v>
      </c>
      <c r="I40" s="6">
        <f t="shared" si="11"/>
        <v>36</v>
      </c>
      <c r="J40" s="6">
        <f t="shared" si="11"/>
        <v>0</v>
      </c>
      <c r="K40" s="6">
        <f t="shared" si="11"/>
        <v>0</v>
      </c>
      <c r="L40" s="6">
        <f t="shared" si="11"/>
        <v>0</v>
      </c>
      <c r="M40" s="6">
        <f t="shared" si="11"/>
        <v>0</v>
      </c>
      <c r="N40" s="6">
        <f t="shared" si="11"/>
        <v>0</v>
      </c>
      <c r="O40" s="6">
        <f t="shared" si="11"/>
        <v>0</v>
      </c>
      <c r="P40" s="6">
        <f t="shared" si="7"/>
        <v>36</v>
      </c>
    </row>
    <row r="41" spans="1:16" x14ac:dyDescent="0.3">
      <c r="A41" s="3" t="s">
        <v>50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5">
        <f t="shared" si="7"/>
        <v>0</v>
      </c>
    </row>
    <row r="42" spans="1:16" x14ac:dyDescent="0.3">
      <c r="A42" s="3" t="s">
        <v>51</v>
      </c>
      <c r="B42" s="4"/>
      <c r="C42" s="4"/>
      <c r="D42" s="4"/>
      <c r="E42" s="4"/>
      <c r="F42" s="4"/>
      <c r="G42" s="4"/>
      <c r="H42" s="4"/>
      <c r="I42" s="4"/>
      <c r="J42" s="4"/>
      <c r="K42" s="5">
        <f>500</f>
        <v>500</v>
      </c>
      <c r="L42" s="4"/>
      <c r="M42" s="4"/>
      <c r="N42" s="4"/>
      <c r="O42" s="4"/>
      <c r="P42" s="5">
        <f t="shared" si="7"/>
        <v>500</v>
      </c>
    </row>
    <row r="43" spans="1:16" x14ac:dyDescent="0.3">
      <c r="A43" s="3" t="s">
        <v>52</v>
      </c>
      <c r="B43" s="6">
        <f t="shared" ref="B43:O43" si="12">(B41)+(B42)</f>
        <v>0</v>
      </c>
      <c r="C43" s="6">
        <f t="shared" si="12"/>
        <v>0</v>
      </c>
      <c r="D43" s="6">
        <f t="shared" si="12"/>
        <v>0</v>
      </c>
      <c r="E43" s="6">
        <f t="shared" si="12"/>
        <v>0</v>
      </c>
      <c r="F43" s="6">
        <f t="shared" si="12"/>
        <v>0</v>
      </c>
      <c r="G43" s="6">
        <f t="shared" si="12"/>
        <v>0</v>
      </c>
      <c r="H43" s="6">
        <f t="shared" si="12"/>
        <v>0</v>
      </c>
      <c r="I43" s="6">
        <f t="shared" si="12"/>
        <v>0</v>
      </c>
      <c r="J43" s="6">
        <f t="shared" si="12"/>
        <v>0</v>
      </c>
      <c r="K43" s="6">
        <f t="shared" si="12"/>
        <v>500</v>
      </c>
      <c r="L43" s="6">
        <f t="shared" si="12"/>
        <v>0</v>
      </c>
      <c r="M43" s="6">
        <f t="shared" si="12"/>
        <v>0</v>
      </c>
      <c r="N43" s="6">
        <f t="shared" si="12"/>
        <v>0</v>
      </c>
      <c r="O43" s="6">
        <f t="shared" si="12"/>
        <v>0</v>
      </c>
      <c r="P43" s="6">
        <f t="shared" si="7"/>
        <v>500</v>
      </c>
    </row>
    <row r="44" spans="1:16" x14ac:dyDescent="0.3">
      <c r="A44" s="3" t="s">
        <v>53</v>
      </c>
      <c r="B44" s="6">
        <f t="shared" ref="B44:O44" si="13">(((B36)+(B37))+(B40))+(B43)</f>
        <v>0</v>
      </c>
      <c r="C44" s="6">
        <f t="shared" si="13"/>
        <v>0</v>
      </c>
      <c r="D44" s="6">
        <f t="shared" si="13"/>
        <v>0</v>
      </c>
      <c r="E44" s="6">
        <f t="shared" si="13"/>
        <v>0</v>
      </c>
      <c r="F44" s="6">
        <f t="shared" si="13"/>
        <v>0</v>
      </c>
      <c r="G44" s="6">
        <f t="shared" si="13"/>
        <v>0</v>
      </c>
      <c r="H44" s="6">
        <f t="shared" si="13"/>
        <v>0</v>
      </c>
      <c r="I44" s="6">
        <f t="shared" si="13"/>
        <v>199</v>
      </c>
      <c r="J44" s="6">
        <f t="shared" si="13"/>
        <v>0</v>
      </c>
      <c r="K44" s="6">
        <f t="shared" si="13"/>
        <v>500</v>
      </c>
      <c r="L44" s="6">
        <f t="shared" si="13"/>
        <v>0</v>
      </c>
      <c r="M44" s="6">
        <f t="shared" si="13"/>
        <v>0</v>
      </c>
      <c r="N44" s="6">
        <f t="shared" si="13"/>
        <v>0</v>
      </c>
      <c r="O44" s="6">
        <f t="shared" si="13"/>
        <v>0</v>
      </c>
      <c r="P44" s="6">
        <f t="shared" si="7"/>
        <v>699</v>
      </c>
    </row>
    <row r="45" spans="1:16" x14ac:dyDescent="0.3">
      <c r="A45" s="3" t="s">
        <v>54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5">
        <f t="shared" si="7"/>
        <v>0</v>
      </c>
    </row>
    <row r="46" spans="1:16" x14ac:dyDescent="0.3">
      <c r="A46" s="3" t="s">
        <v>55</v>
      </c>
      <c r="B46" s="5">
        <f>1687.5</f>
        <v>1687.5</v>
      </c>
      <c r="C46" s="5">
        <f>-1687.5</f>
        <v>-1687.5</v>
      </c>
      <c r="D46" s="5">
        <f>3139.2</f>
        <v>3139.2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5">
        <f t="shared" si="7"/>
        <v>3139.2</v>
      </c>
    </row>
    <row r="47" spans="1:16" x14ac:dyDescent="0.3">
      <c r="A47" s="3" t="s">
        <v>56</v>
      </c>
      <c r="B47" s="6">
        <f t="shared" ref="B47:O47" si="14">(B45)+(B46)</f>
        <v>1687.5</v>
      </c>
      <c r="C47" s="6">
        <f t="shared" si="14"/>
        <v>-1687.5</v>
      </c>
      <c r="D47" s="6">
        <f t="shared" si="14"/>
        <v>3139.2</v>
      </c>
      <c r="E47" s="6">
        <f t="shared" si="14"/>
        <v>0</v>
      </c>
      <c r="F47" s="6">
        <f t="shared" si="14"/>
        <v>0</v>
      </c>
      <c r="G47" s="6">
        <f t="shared" si="14"/>
        <v>0</v>
      </c>
      <c r="H47" s="6">
        <f t="shared" si="14"/>
        <v>0</v>
      </c>
      <c r="I47" s="6">
        <f t="shared" si="14"/>
        <v>0</v>
      </c>
      <c r="J47" s="6">
        <f t="shared" si="14"/>
        <v>0</v>
      </c>
      <c r="K47" s="6">
        <f t="shared" si="14"/>
        <v>0</v>
      </c>
      <c r="L47" s="6">
        <f t="shared" si="14"/>
        <v>0</v>
      </c>
      <c r="M47" s="6">
        <f t="shared" si="14"/>
        <v>0</v>
      </c>
      <c r="N47" s="6">
        <f t="shared" si="14"/>
        <v>0</v>
      </c>
      <c r="O47" s="6">
        <f t="shared" si="14"/>
        <v>0</v>
      </c>
      <c r="P47" s="6">
        <f t="shared" si="7"/>
        <v>3139.2</v>
      </c>
    </row>
    <row r="48" spans="1:16" x14ac:dyDescent="0.3">
      <c r="A48" s="3" t="s">
        <v>57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5">
        <f t="shared" si="7"/>
        <v>0</v>
      </c>
    </row>
    <row r="49" spans="1:16" x14ac:dyDescent="0.3">
      <c r="A49" s="3" t="s">
        <v>58</v>
      </c>
      <c r="B49" s="4"/>
      <c r="C49" s="4"/>
      <c r="D49" s="4"/>
      <c r="E49" s="4"/>
      <c r="F49" s="4"/>
      <c r="G49" s="4"/>
      <c r="H49" s="5">
        <f>97.46</f>
        <v>97.46</v>
      </c>
      <c r="I49" s="5">
        <f>10.24</f>
        <v>10.24</v>
      </c>
      <c r="J49" s="4"/>
      <c r="K49" s="4"/>
      <c r="L49" s="4"/>
      <c r="M49" s="4"/>
      <c r="N49" s="4"/>
      <c r="O49" s="4"/>
      <c r="P49" s="5">
        <f t="shared" si="7"/>
        <v>107.69999999999999</v>
      </c>
    </row>
    <row r="50" spans="1:16" x14ac:dyDescent="0.3">
      <c r="A50" s="3" t="s">
        <v>59</v>
      </c>
      <c r="B50" s="4"/>
      <c r="C50" s="4"/>
      <c r="D50" s="4"/>
      <c r="E50" s="4"/>
      <c r="F50" s="4"/>
      <c r="G50" s="4"/>
      <c r="H50" s="5">
        <f>2315</f>
        <v>2315</v>
      </c>
      <c r="I50" s="4"/>
      <c r="J50" s="4"/>
      <c r="K50" s="4"/>
      <c r="L50" s="4"/>
      <c r="M50" s="4"/>
      <c r="N50" s="4"/>
      <c r="O50" s="4"/>
      <c r="P50" s="5">
        <f t="shared" si="7"/>
        <v>2315</v>
      </c>
    </row>
    <row r="51" spans="1:16" x14ac:dyDescent="0.3">
      <c r="A51" s="3" t="s">
        <v>60</v>
      </c>
      <c r="B51" s="4"/>
      <c r="C51" s="4"/>
      <c r="D51" s="5">
        <f>787.5</f>
        <v>787.5</v>
      </c>
      <c r="E51" s="5">
        <f>308.9</f>
        <v>308.89999999999998</v>
      </c>
      <c r="F51" s="4"/>
      <c r="G51" s="4"/>
      <c r="H51" s="5">
        <f>15499.98</f>
        <v>15499.98</v>
      </c>
      <c r="I51" s="4"/>
      <c r="J51" s="4"/>
      <c r="K51" s="4"/>
      <c r="L51" s="4"/>
      <c r="M51" s="4"/>
      <c r="N51" s="4"/>
      <c r="O51" s="4"/>
      <c r="P51" s="5">
        <f t="shared" si="7"/>
        <v>16596.38</v>
      </c>
    </row>
    <row r="52" spans="1:16" x14ac:dyDescent="0.3">
      <c r="A52" s="3" t="s">
        <v>61</v>
      </c>
      <c r="B52" s="4"/>
      <c r="C52" s="4"/>
      <c r="D52" s="4"/>
      <c r="E52" s="4"/>
      <c r="F52" s="4"/>
      <c r="G52" s="4"/>
      <c r="H52" s="5">
        <f>3974</f>
        <v>3974</v>
      </c>
      <c r="I52" s="4"/>
      <c r="J52" s="4"/>
      <c r="K52" s="4"/>
      <c r="L52" s="4"/>
      <c r="M52" s="4"/>
      <c r="N52" s="4"/>
      <c r="O52" s="4"/>
      <c r="P52" s="5">
        <f t="shared" si="7"/>
        <v>3974</v>
      </c>
    </row>
    <row r="53" spans="1:16" x14ac:dyDescent="0.3">
      <c r="A53" s="3" t="s">
        <v>62</v>
      </c>
      <c r="B53" s="6">
        <f t="shared" ref="B53:O53" si="15">((((B48)+(B49))+(B50))+(B51))+(B52)</f>
        <v>0</v>
      </c>
      <c r="C53" s="6">
        <f t="shared" si="15"/>
        <v>0</v>
      </c>
      <c r="D53" s="6">
        <f t="shared" si="15"/>
        <v>787.5</v>
      </c>
      <c r="E53" s="6">
        <f t="shared" si="15"/>
        <v>308.89999999999998</v>
      </c>
      <c r="F53" s="6">
        <f t="shared" si="15"/>
        <v>0</v>
      </c>
      <c r="G53" s="6">
        <f t="shared" si="15"/>
        <v>0</v>
      </c>
      <c r="H53" s="6">
        <f t="shared" si="15"/>
        <v>21886.44</v>
      </c>
      <c r="I53" s="6">
        <f t="shared" si="15"/>
        <v>10.24</v>
      </c>
      <c r="J53" s="6">
        <f t="shared" si="15"/>
        <v>0</v>
      </c>
      <c r="K53" s="6">
        <f t="shared" si="15"/>
        <v>0</v>
      </c>
      <c r="L53" s="6">
        <f t="shared" si="15"/>
        <v>0</v>
      </c>
      <c r="M53" s="6">
        <f t="shared" si="15"/>
        <v>0</v>
      </c>
      <c r="N53" s="6">
        <f t="shared" si="15"/>
        <v>0</v>
      </c>
      <c r="O53" s="6">
        <f t="shared" si="15"/>
        <v>0</v>
      </c>
      <c r="P53" s="6">
        <f t="shared" si="7"/>
        <v>22993.08</v>
      </c>
    </row>
    <row r="54" spans="1:16" x14ac:dyDescent="0.3">
      <c r="A54" s="3" t="s">
        <v>63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5">
        <f t="shared" si="7"/>
        <v>0</v>
      </c>
    </row>
    <row r="55" spans="1:16" x14ac:dyDescent="0.3">
      <c r="A55" s="3" t="s">
        <v>64</v>
      </c>
      <c r="B55" s="4"/>
      <c r="C55" s="4"/>
      <c r="D55" s="4"/>
      <c r="E55" s="5">
        <f>40</f>
        <v>40</v>
      </c>
      <c r="F55" s="4"/>
      <c r="G55" s="4"/>
      <c r="H55" s="5">
        <f>900</f>
        <v>900</v>
      </c>
      <c r="I55" s="4"/>
      <c r="J55" s="4"/>
      <c r="K55" s="4"/>
      <c r="L55" s="4"/>
      <c r="M55" s="4"/>
      <c r="N55" s="5">
        <f>500</f>
        <v>500</v>
      </c>
      <c r="O55" s="4"/>
      <c r="P55" s="5">
        <f t="shared" si="7"/>
        <v>1440</v>
      </c>
    </row>
    <row r="56" spans="1:16" x14ac:dyDescent="0.3">
      <c r="A56" s="3" t="s">
        <v>65</v>
      </c>
      <c r="B56" s="6">
        <f t="shared" ref="B56:O56" si="16">(B54)+(B55)</f>
        <v>0</v>
      </c>
      <c r="C56" s="6">
        <f t="shared" si="16"/>
        <v>0</v>
      </c>
      <c r="D56" s="6">
        <f t="shared" si="16"/>
        <v>0</v>
      </c>
      <c r="E56" s="6">
        <f t="shared" si="16"/>
        <v>40</v>
      </c>
      <c r="F56" s="6">
        <f t="shared" si="16"/>
        <v>0</v>
      </c>
      <c r="G56" s="6">
        <f t="shared" si="16"/>
        <v>0</v>
      </c>
      <c r="H56" s="6">
        <f t="shared" si="16"/>
        <v>900</v>
      </c>
      <c r="I56" s="6">
        <f t="shared" si="16"/>
        <v>0</v>
      </c>
      <c r="J56" s="6">
        <f t="shared" si="16"/>
        <v>0</v>
      </c>
      <c r="K56" s="6">
        <f t="shared" si="16"/>
        <v>0</v>
      </c>
      <c r="L56" s="6">
        <f t="shared" si="16"/>
        <v>0</v>
      </c>
      <c r="M56" s="6">
        <f t="shared" si="16"/>
        <v>0</v>
      </c>
      <c r="N56" s="6">
        <f t="shared" si="16"/>
        <v>500</v>
      </c>
      <c r="O56" s="6">
        <f t="shared" si="16"/>
        <v>0</v>
      </c>
      <c r="P56" s="6">
        <f t="shared" si="7"/>
        <v>1440</v>
      </c>
    </row>
    <row r="57" spans="1:16" x14ac:dyDescent="0.3">
      <c r="A57" s="3" t="s">
        <v>66</v>
      </c>
      <c r="B57" s="4"/>
      <c r="C57" s="4"/>
      <c r="D57" s="4"/>
      <c r="E57" s="4"/>
      <c r="F57" s="4"/>
      <c r="G57" s="4"/>
      <c r="H57" s="5">
        <f>900</f>
        <v>900</v>
      </c>
      <c r="I57" s="4"/>
      <c r="J57" s="4"/>
      <c r="K57" s="5">
        <f>402.91</f>
        <v>402.91</v>
      </c>
      <c r="L57" s="5">
        <f>698.44</f>
        <v>698.44</v>
      </c>
      <c r="M57" s="4"/>
      <c r="N57" s="4"/>
      <c r="O57" s="4"/>
      <c r="P57" s="5">
        <f t="shared" si="7"/>
        <v>2001.3500000000001</v>
      </c>
    </row>
    <row r="58" spans="1:16" x14ac:dyDescent="0.3">
      <c r="A58" s="3" t="s">
        <v>67</v>
      </c>
      <c r="B58" s="6">
        <f t="shared" ref="B58:O58" si="17">((((((((B28)+(B31))+(B32))+(B35))+(B44))+(B47))+(B53))+(B56))+(B57)</f>
        <v>1687.5</v>
      </c>
      <c r="C58" s="6">
        <f t="shared" si="17"/>
        <v>-1687.5</v>
      </c>
      <c r="D58" s="6">
        <f t="shared" si="17"/>
        <v>3926.7</v>
      </c>
      <c r="E58" s="6">
        <f t="shared" si="17"/>
        <v>348.9</v>
      </c>
      <c r="F58" s="6">
        <f t="shared" si="17"/>
        <v>0</v>
      </c>
      <c r="G58" s="6">
        <f t="shared" si="17"/>
        <v>357.21</v>
      </c>
      <c r="H58" s="6">
        <f t="shared" si="17"/>
        <v>28573.559999999998</v>
      </c>
      <c r="I58" s="6">
        <f t="shared" si="17"/>
        <v>1096.68</v>
      </c>
      <c r="J58" s="6">
        <f t="shared" si="17"/>
        <v>0</v>
      </c>
      <c r="K58" s="6">
        <f t="shared" si="17"/>
        <v>1607.91</v>
      </c>
      <c r="L58" s="6">
        <f t="shared" si="17"/>
        <v>698.44</v>
      </c>
      <c r="M58" s="6">
        <f t="shared" si="17"/>
        <v>1134</v>
      </c>
      <c r="N58" s="6">
        <f t="shared" si="17"/>
        <v>4901.92</v>
      </c>
      <c r="O58" s="6">
        <f t="shared" si="17"/>
        <v>0</v>
      </c>
      <c r="P58" s="6">
        <f t="shared" si="7"/>
        <v>42645.32</v>
      </c>
    </row>
    <row r="59" spans="1:16" x14ac:dyDescent="0.3">
      <c r="A59" s="3" t="s">
        <v>68</v>
      </c>
      <c r="B59" s="6">
        <f t="shared" ref="B59:O59" si="18">(B24)-(B58)</f>
        <v>-1687.5</v>
      </c>
      <c r="C59" s="6">
        <f t="shared" si="18"/>
        <v>1687.5</v>
      </c>
      <c r="D59" s="6">
        <f t="shared" si="18"/>
        <v>-3926.7</v>
      </c>
      <c r="E59" s="6">
        <f t="shared" si="18"/>
        <v>7676.1</v>
      </c>
      <c r="F59" s="6">
        <f t="shared" si="18"/>
        <v>7955</v>
      </c>
      <c r="G59" s="6">
        <f t="shared" si="18"/>
        <v>-357.21</v>
      </c>
      <c r="H59" s="6">
        <f t="shared" si="18"/>
        <v>-25573.559999999998</v>
      </c>
      <c r="I59" s="6">
        <f t="shared" si="18"/>
        <v>935.42999999999984</v>
      </c>
      <c r="J59" s="6">
        <f t="shared" si="18"/>
        <v>193.9</v>
      </c>
      <c r="K59" s="6">
        <f t="shared" si="18"/>
        <v>-1607.91</v>
      </c>
      <c r="L59" s="6">
        <f t="shared" si="18"/>
        <v>-698.44</v>
      </c>
      <c r="M59" s="6">
        <f t="shared" si="18"/>
        <v>-459</v>
      </c>
      <c r="N59" s="6">
        <f t="shared" si="18"/>
        <v>382.17000000000007</v>
      </c>
      <c r="O59" s="6">
        <f t="shared" si="18"/>
        <v>1350</v>
      </c>
      <c r="P59" s="6">
        <f t="shared" si="7"/>
        <v>-14130.219999999996</v>
      </c>
    </row>
    <row r="60" spans="1:16" x14ac:dyDescent="0.3">
      <c r="A60" s="3" t="s">
        <v>69</v>
      </c>
      <c r="B60" s="7">
        <f t="shared" ref="B60:O60" si="19">(B59)+(0)</f>
        <v>-1687.5</v>
      </c>
      <c r="C60" s="7">
        <f t="shared" si="19"/>
        <v>1687.5</v>
      </c>
      <c r="D60" s="7">
        <f t="shared" si="19"/>
        <v>-3926.7</v>
      </c>
      <c r="E60" s="7">
        <f t="shared" si="19"/>
        <v>7676.1</v>
      </c>
      <c r="F60" s="7">
        <f t="shared" si="19"/>
        <v>7955</v>
      </c>
      <c r="G60" s="7">
        <f t="shared" si="19"/>
        <v>-357.21</v>
      </c>
      <c r="H60" s="7">
        <f t="shared" si="19"/>
        <v>-25573.559999999998</v>
      </c>
      <c r="I60" s="7">
        <f t="shared" si="19"/>
        <v>935.42999999999984</v>
      </c>
      <c r="J60" s="7">
        <f t="shared" si="19"/>
        <v>193.9</v>
      </c>
      <c r="K60" s="7">
        <f t="shared" si="19"/>
        <v>-1607.91</v>
      </c>
      <c r="L60" s="7">
        <f t="shared" si="19"/>
        <v>-698.44</v>
      </c>
      <c r="M60" s="7">
        <f t="shared" si="19"/>
        <v>-459</v>
      </c>
      <c r="N60" s="7">
        <f t="shared" si="19"/>
        <v>382.17000000000007</v>
      </c>
      <c r="O60" s="7">
        <f t="shared" si="19"/>
        <v>1350</v>
      </c>
      <c r="P60" s="7">
        <f t="shared" si="7"/>
        <v>-14130.219999999996</v>
      </c>
    </row>
    <row r="61" spans="1:16" x14ac:dyDescent="0.3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</sheetData>
  <mergeCells count="3">
    <mergeCell ref="A1:P1"/>
    <mergeCell ref="A2:P2"/>
    <mergeCell ref="A3:P3"/>
  </mergeCells>
  <pageMargins left="0.25" right="0.25" top="0.75" bottom="0.75" header="0.3" footer="0.3"/>
  <pageSetup scale="7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Profit and Loss by Class</vt:lpstr>
      <vt:lpstr>'Profit and Loss by Class'!Print_Titles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nlheureux23@gmail.com</cp:lastModifiedBy>
  <cp:lastPrinted>2024-01-08T15:54:41Z</cp:lastPrinted>
  <dcterms:created xsi:type="dcterms:W3CDTF">2024-01-08T15:49:12Z</dcterms:created>
  <dcterms:modified xsi:type="dcterms:W3CDTF">2024-01-08T15:54:49Z</dcterms:modified>
</cp:coreProperties>
</file>