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amapo Boosters\"/>
    </mc:Choice>
  </mc:AlternateContent>
  <xr:revisionPtr revIDLastSave="0" documentId="8_{DF5DE4C0-ABB0-4AC7-AD2D-4CCB948D7F4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fit and Loss by Class" sheetId="1" r:id="rId1"/>
  </sheets>
  <definedNames>
    <definedName name="_xlnm.Print_Titles" localSheetId="0">'Profit and Loss by Class'!$A:$A,'Profit and Loss by Class'!$1:$5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5" i="1" l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V84" i="1"/>
  <c r="Y84" i="1" s="1"/>
  <c r="Y83" i="1"/>
  <c r="S82" i="1"/>
  <c r="Q82" i="1"/>
  <c r="O82" i="1"/>
  <c r="L82" i="1"/>
  <c r="I82" i="1"/>
  <c r="X81" i="1"/>
  <c r="W81" i="1"/>
  <c r="V81" i="1"/>
  <c r="T81" i="1"/>
  <c r="S81" i="1"/>
  <c r="R81" i="1"/>
  <c r="Q81" i="1"/>
  <c r="P81" i="1"/>
  <c r="O81" i="1"/>
  <c r="N81" i="1"/>
  <c r="K81" i="1"/>
  <c r="J81" i="1"/>
  <c r="I81" i="1"/>
  <c r="H81" i="1"/>
  <c r="E81" i="1"/>
  <c r="D81" i="1"/>
  <c r="C81" i="1"/>
  <c r="B81" i="1"/>
  <c r="U80" i="1"/>
  <c r="U81" i="1" s="1"/>
  <c r="M80" i="1"/>
  <c r="L80" i="1"/>
  <c r="L81" i="1" s="1"/>
  <c r="G80" i="1"/>
  <c r="G81" i="1" s="1"/>
  <c r="F80" i="1"/>
  <c r="M79" i="1"/>
  <c r="M81" i="1" s="1"/>
  <c r="F79" i="1"/>
  <c r="Y79" i="1" s="1"/>
  <c r="Y78" i="1"/>
  <c r="X77" i="1"/>
  <c r="W77" i="1"/>
  <c r="V77" i="1"/>
  <c r="U77" i="1"/>
  <c r="T77" i="1"/>
  <c r="S77" i="1"/>
  <c r="Q77" i="1"/>
  <c r="O77" i="1"/>
  <c r="N77" i="1"/>
  <c r="K77" i="1"/>
  <c r="H77" i="1"/>
  <c r="V76" i="1"/>
  <c r="P76" i="1"/>
  <c r="Y76" i="1" s="1"/>
  <c r="L75" i="1"/>
  <c r="E75" i="1"/>
  <c r="R74" i="1"/>
  <c r="R77" i="1" s="1"/>
  <c r="P74" i="1"/>
  <c r="N74" i="1"/>
  <c r="L74" i="1"/>
  <c r="J74" i="1"/>
  <c r="J77" i="1" s="1"/>
  <c r="I74" i="1"/>
  <c r="I77" i="1" s="1"/>
  <c r="G74" i="1"/>
  <c r="G77" i="1" s="1"/>
  <c r="F74" i="1"/>
  <c r="F77" i="1" s="1"/>
  <c r="E74" i="1"/>
  <c r="E77" i="1" s="1"/>
  <c r="D74" i="1"/>
  <c r="D77" i="1" s="1"/>
  <c r="B74" i="1"/>
  <c r="M73" i="1"/>
  <c r="Y73" i="1" s="1"/>
  <c r="L72" i="1"/>
  <c r="Y72" i="1" s="1"/>
  <c r="L71" i="1"/>
  <c r="Y71" i="1" s="1"/>
  <c r="P70" i="1"/>
  <c r="M70" i="1"/>
  <c r="M77" i="1" s="1"/>
  <c r="L70" i="1"/>
  <c r="C70" i="1"/>
  <c r="P69" i="1"/>
  <c r="Y69" i="1" s="1"/>
  <c r="Y68" i="1"/>
  <c r="W67" i="1"/>
  <c r="V67" i="1"/>
  <c r="U67" i="1"/>
  <c r="T67" i="1"/>
  <c r="S67" i="1"/>
  <c r="Q67" i="1"/>
  <c r="P67" i="1"/>
  <c r="O67" i="1"/>
  <c r="N67" i="1"/>
  <c r="K67" i="1"/>
  <c r="J67" i="1"/>
  <c r="H67" i="1"/>
  <c r="G67" i="1"/>
  <c r="C67" i="1"/>
  <c r="L66" i="1"/>
  <c r="I66" i="1"/>
  <c r="M65" i="1"/>
  <c r="M67" i="1" s="1"/>
  <c r="X64" i="1"/>
  <c r="X67" i="1" s="1"/>
  <c r="R64" i="1"/>
  <c r="R67" i="1" s="1"/>
  <c r="P64" i="1"/>
  <c r="L64" i="1"/>
  <c r="F64" i="1"/>
  <c r="F67" i="1" s="1"/>
  <c r="E64" i="1"/>
  <c r="E67" i="1" s="1"/>
  <c r="D64" i="1"/>
  <c r="D67" i="1" s="1"/>
  <c r="B64" i="1"/>
  <c r="Y63" i="1"/>
  <c r="W61" i="1"/>
  <c r="V61" i="1"/>
  <c r="U61" i="1"/>
  <c r="U62" i="1" s="1"/>
  <c r="T61" i="1"/>
  <c r="T62" i="1" s="1"/>
  <c r="R61" i="1"/>
  <c r="Q61" i="1"/>
  <c r="O61" i="1"/>
  <c r="M61" i="1"/>
  <c r="K61" i="1"/>
  <c r="J61" i="1"/>
  <c r="E61" i="1"/>
  <c r="E62" i="1" s="1"/>
  <c r="D61" i="1"/>
  <c r="C61" i="1"/>
  <c r="B61" i="1"/>
  <c r="P60" i="1"/>
  <c r="G60" i="1"/>
  <c r="Y60" i="1" s="1"/>
  <c r="X59" i="1"/>
  <c r="X61" i="1" s="1"/>
  <c r="S59" i="1"/>
  <c r="S61" i="1" s="1"/>
  <c r="Q59" i="1"/>
  <c r="P59" i="1"/>
  <c r="N59" i="1"/>
  <c r="N61" i="1" s="1"/>
  <c r="M59" i="1"/>
  <c r="L59" i="1"/>
  <c r="L61" i="1" s="1"/>
  <c r="H59" i="1"/>
  <c r="H61" i="1" s="1"/>
  <c r="G59" i="1"/>
  <c r="G61" i="1" s="1"/>
  <c r="F59" i="1"/>
  <c r="D59" i="1"/>
  <c r="I58" i="1"/>
  <c r="I61" i="1" s="1"/>
  <c r="Y57" i="1"/>
  <c r="X56" i="1"/>
  <c r="W56" i="1"/>
  <c r="V56" i="1"/>
  <c r="U56" i="1"/>
  <c r="T56" i="1"/>
  <c r="S56" i="1"/>
  <c r="R56" i="1"/>
  <c r="R62" i="1" s="1"/>
  <c r="Q56" i="1"/>
  <c r="Q62" i="1" s="1"/>
  <c r="P56" i="1"/>
  <c r="O56" i="1"/>
  <c r="O62" i="1" s="1"/>
  <c r="N56" i="1"/>
  <c r="L56" i="1"/>
  <c r="K56" i="1"/>
  <c r="K62" i="1" s="1"/>
  <c r="J56" i="1"/>
  <c r="J62" i="1" s="1"/>
  <c r="I56" i="1"/>
  <c r="I62" i="1" s="1"/>
  <c r="H56" i="1"/>
  <c r="G56" i="1"/>
  <c r="F56" i="1"/>
  <c r="E56" i="1"/>
  <c r="D56" i="1"/>
  <c r="D62" i="1" s="1"/>
  <c r="C56" i="1"/>
  <c r="B56" i="1"/>
  <c r="B62" i="1" s="1"/>
  <c r="M55" i="1"/>
  <c r="M56" i="1" s="1"/>
  <c r="Y54" i="1"/>
  <c r="M53" i="1"/>
  <c r="M62" i="1" s="1"/>
  <c r="Y52" i="1"/>
  <c r="X51" i="1"/>
  <c r="W51" i="1"/>
  <c r="V51" i="1"/>
  <c r="U51" i="1"/>
  <c r="T51" i="1"/>
  <c r="S51" i="1"/>
  <c r="R51" i="1"/>
  <c r="O51" i="1"/>
  <c r="N51" i="1"/>
  <c r="M51" i="1"/>
  <c r="J51" i="1"/>
  <c r="I51" i="1"/>
  <c r="H51" i="1"/>
  <c r="G51" i="1"/>
  <c r="F51" i="1"/>
  <c r="E51" i="1"/>
  <c r="D51" i="1"/>
  <c r="C51" i="1"/>
  <c r="P50" i="1"/>
  <c r="Y50" i="1" s="1"/>
  <c r="B49" i="1"/>
  <c r="B51" i="1" s="1"/>
  <c r="U48" i="1"/>
  <c r="T48" i="1"/>
  <c r="Q48" i="1"/>
  <c r="Q51" i="1" s="1"/>
  <c r="P48" i="1"/>
  <c r="L48" i="1"/>
  <c r="L51" i="1" s="1"/>
  <c r="K48" i="1"/>
  <c r="K51" i="1" s="1"/>
  <c r="Y47" i="1"/>
  <c r="S46" i="1"/>
  <c r="Q46" i="1"/>
  <c r="L46" i="1"/>
  <c r="B46" i="1"/>
  <c r="Y46" i="1" s="1"/>
  <c r="X45" i="1"/>
  <c r="W45" i="1"/>
  <c r="V45" i="1"/>
  <c r="T45" i="1"/>
  <c r="S45" i="1"/>
  <c r="R45" i="1"/>
  <c r="Q45" i="1"/>
  <c r="P45" i="1"/>
  <c r="O45" i="1"/>
  <c r="N45" i="1"/>
  <c r="K45" i="1"/>
  <c r="J45" i="1"/>
  <c r="I45" i="1"/>
  <c r="H45" i="1"/>
  <c r="G45" i="1"/>
  <c r="F45" i="1"/>
  <c r="E45" i="1"/>
  <c r="D45" i="1"/>
  <c r="C45" i="1"/>
  <c r="B45" i="1"/>
  <c r="L44" i="1"/>
  <c r="M43" i="1"/>
  <c r="Y43" i="1" s="1"/>
  <c r="U42" i="1"/>
  <c r="U45" i="1" s="1"/>
  <c r="Y41" i="1"/>
  <c r="X40" i="1"/>
  <c r="W40" i="1"/>
  <c r="V40" i="1"/>
  <c r="U40" i="1"/>
  <c r="T40" i="1"/>
  <c r="S40" i="1"/>
  <c r="R40" i="1"/>
  <c r="R86" i="1" s="1"/>
  <c r="Q40" i="1"/>
  <c r="P40" i="1"/>
  <c r="O40" i="1"/>
  <c r="N40" i="1"/>
  <c r="L40" i="1"/>
  <c r="K40" i="1"/>
  <c r="J40" i="1"/>
  <c r="I40" i="1"/>
  <c r="H40" i="1"/>
  <c r="G40" i="1"/>
  <c r="F40" i="1"/>
  <c r="E40" i="1"/>
  <c r="D40" i="1"/>
  <c r="C40" i="1"/>
  <c r="B40" i="1"/>
  <c r="M39" i="1"/>
  <c r="Y39" i="1" s="1"/>
  <c r="M38" i="1"/>
  <c r="Y38" i="1" s="1"/>
  <c r="M37" i="1"/>
  <c r="Y37" i="1" s="1"/>
  <c r="M33" i="1"/>
  <c r="Y33" i="1" s="1"/>
  <c r="M32" i="1"/>
  <c r="L32" i="1"/>
  <c r="X31" i="1"/>
  <c r="W31" i="1"/>
  <c r="V31" i="1"/>
  <c r="S31" i="1"/>
  <c r="R31" i="1"/>
  <c r="P31" i="1"/>
  <c r="O31" i="1"/>
  <c r="N31" i="1"/>
  <c r="M31" i="1"/>
  <c r="K31" i="1"/>
  <c r="J31" i="1"/>
  <c r="I31" i="1"/>
  <c r="H31" i="1"/>
  <c r="G31" i="1"/>
  <c r="D31" i="1"/>
  <c r="C31" i="1"/>
  <c r="B31" i="1"/>
  <c r="U30" i="1"/>
  <c r="E30" i="1"/>
  <c r="Y30" i="1" s="1"/>
  <c r="G29" i="1"/>
  <c r="Y29" i="1" s="1"/>
  <c r="Q28" i="1"/>
  <c r="Q31" i="1" s="1"/>
  <c r="L28" i="1"/>
  <c r="U27" i="1"/>
  <c r="T27" i="1"/>
  <c r="T31" i="1" s="1"/>
  <c r="K27" i="1"/>
  <c r="G27" i="1"/>
  <c r="F27" i="1"/>
  <c r="E27" i="1"/>
  <c r="E31" i="1" s="1"/>
  <c r="F26" i="1"/>
  <c r="F31" i="1" s="1"/>
  <c r="Y25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D34" i="1" s="1"/>
  <c r="D35" i="1" s="1"/>
  <c r="C24" i="1"/>
  <c r="C34" i="1" s="1"/>
  <c r="C35" i="1" s="1"/>
  <c r="B24" i="1"/>
  <c r="M23" i="1"/>
  <c r="Y23" i="1" s="1"/>
  <c r="Y22" i="1"/>
  <c r="X21" i="1"/>
  <c r="V21" i="1"/>
  <c r="U21" i="1"/>
  <c r="T21" i="1"/>
  <c r="S21" i="1"/>
  <c r="R21" i="1"/>
  <c r="Q21" i="1"/>
  <c r="P21" i="1"/>
  <c r="O21" i="1"/>
  <c r="N21" i="1"/>
  <c r="K21" i="1"/>
  <c r="J21" i="1"/>
  <c r="H21" i="1"/>
  <c r="F21" i="1"/>
  <c r="E21" i="1"/>
  <c r="D21" i="1"/>
  <c r="C21" i="1"/>
  <c r="W20" i="1"/>
  <c r="W21" i="1" s="1"/>
  <c r="M20" i="1"/>
  <c r="L20" i="1"/>
  <c r="L21" i="1" s="1"/>
  <c r="G20" i="1"/>
  <c r="M19" i="1"/>
  <c r="Y19" i="1" s="1"/>
  <c r="V18" i="1"/>
  <c r="U18" i="1"/>
  <c r="M18" i="1"/>
  <c r="I18" i="1"/>
  <c r="I21" i="1" s="1"/>
  <c r="B18" i="1"/>
  <c r="L17" i="1"/>
  <c r="I17" i="1"/>
  <c r="Y17" i="1" s="1"/>
  <c r="Y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Y14" i="1" s="1"/>
  <c r="Y13" i="1"/>
  <c r="X12" i="1"/>
  <c r="X34" i="1" s="1"/>
  <c r="X35" i="1" s="1"/>
  <c r="V12" i="1"/>
  <c r="T12" i="1"/>
  <c r="R12" i="1"/>
  <c r="P12" i="1"/>
  <c r="O12" i="1"/>
  <c r="K12" i="1"/>
  <c r="K34" i="1" s="1"/>
  <c r="K35" i="1" s="1"/>
  <c r="J12" i="1"/>
  <c r="J34" i="1" s="1"/>
  <c r="J35" i="1" s="1"/>
  <c r="I12" i="1"/>
  <c r="I34" i="1" s="1"/>
  <c r="I35" i="1" s="1"/>
  <c r="H12" i="1"/>
  <c r="E12" i="1"/>
  <c r="C12" i="1"/>
  <c r="B12" i="1"/>
  <c r="U11" i="1"/>
  <c r="U10" i="1"/>
  <c r="F10" i="1"/>
  <c r="Y10" i="1" s="1"/>
  <c r="M9" i="1"/>
  <c r="Y9" i="1" s="1"/>
  <c r="X8" i="1"/>
  <c r="W8" i="1"/>
  <c r="W12" i="1" s="1"/>
  <c r="S8" i="1"/>
  <c r="S12" i="1" s="1"/>
  <c r="S34" i="1" s="1"/>
  <c r="S35" i="1" s="1"/>
  <c r="Q8" i="1"/>
  <c r="Q12" i="1" s="1"/>
  <c r="N8" i="1"/>
  <c r="N12" i="1" s="1"/>
  <c r="M8" i="1"/>
  <c r="L8" i="1"/>
  <c r="L12" i="1" s="1"/>
  <c r="G8" i="1"/>
  <c r="G12" i="1" s="1"/>
  <c r="D8" i="1"/>
  <c r="D12" i="1" s="1"/>
  <c r="Y7" i="1"/>
  <c r="T34" i="1" l="1"/>
  <c r="T35" i="1" s="1"/>
  <c r="Y26" i="1"/>
  <c r="Y42" i="1"/>
  <c r="Y64" i="1"/>
  <c r="M21" i="1"/>
  <c r="T86" i="1"/>
  <c r="Y75" i="1"/>
  <c r="Y82" i="1"/>
  <c r="U12" i="1"/>
  <c r="C62" i="1"/>
  <c r="Y59" i="1"/>
  <c r="K86" i="1"/>
  <c r="K87" i="1" s="1"/>
  <c r="K88" i="1" s="1"/>
  <c r="B67" i="1"/>
  <c r="J86" i="1"/>
  <c r="J87" i="1" s="1"/>
  <c r="J88" i="1" s="1"/>
  <c r="N62" i="1"/>
  <c r="N86" i="1" s="1"/>
  <c r="V62" i="1"/>
  <c r="L67" i="1"/>
  <c r="R34" i="1"/>
  <c r="R35" i="1" s="1"/>
  <c r="R87" i="1" s="1"/>
  <c r="R88" i="1" s="1"/>
  <c r="M45" i="1"/>
  <c r="Y48" i="1"/>
  <c r="Y56" i="1"/>
  <c r="W62" i="1"/>
  <c r="W86" i="1" s="1"/>
  <c r="L62" i="1"/>
  <c r="P61" i="1"/>
  <c r="H34" i="1"/>
  <c r="H35" i="1" s="1"/>
  <c r="Y20" i="1"/>
  <c r="Y32" i="1"/>
  <c r="Q86" i="1"/>
  <c r="Y53" i="1"/>
  <c r="P62" i="1"/>
  <c r="P86" i="1" s="1"/>
  <c r="Y8" i="1"/>
  <c r="L31" i="1"/>
  <c r="Y28" i="1"/>
  <c r="I86" i="1"/>
  <c r="I87" i="1" s="1"/>
  <c r="I88" i="1" s="1"/>
  <c r="Y45" i="1"/>
  <c r="Y51" i="1"/>
  <c r="F61" i="1"/>
  <c r="F62" i="1" s="1"/>
  <c r="M12" i="1"/>
  <c r="Y49" i="1"/>
  <c r="I67" i="1"/>
  <c r="Y66" i="1"/>
  <c r="Y74" i="1"/>
  <c r="H87" i="1"/>
  <c r="H88" i="1" s="1"/>
  <c r="Y67" i="1"/>
  <c r="Y65" i="1"/>
  <c r="C77" i="1"/>
  <c r="Y70" i="1"/>
  <c r="G21" i="1"/>
  <c r="G34" i="1" s="1"/>
  <c r="G35" i="1" s="1"/>
  <c r="G87" i="1" s="1"/>
  <c r="G88" i="1" s="1"/>
  <c r="L77" i="1"/>
  <c r="N34" i="1"/>
  <c r="N35" i="1" s="1"/>
  <c r="Y15" i="1"/>
  <c r="B21" i="1"/>
  <c r="Y18" i="1"/>
  <c r="G62" i="1"/>
  <c r="G86" i="1" s="1"/>
  <c r="X62" i="1"/>
  <c r="X86" i="1" s="1"/>
  <c r="X87" i="1" s="1"/>
  <c r="X88" i="1" s="1"/>
  <c r="V34" i="1"/>
  <c r="V35" i="1" s="1"/>
  <c r="E86" i="1"/>
  <c r="M40" i="1"/>
  <c r="M86" i="1" s="1"/>
  <c r="U86" i="1"/>
  <c r="H62" i="1"/>
  <c r="P77" i="1"/>
  <c r="Y11" i="1"/>
  <c r="O34" i="1"/>
  <c r="O35" i="1" s="1"/>
  <c r="O87" i="1" s="1"/>
  <c r="O88" i="1" s="1"/>
  <c r="Y24" i="1"/>
  <c r="F86" i="1"/>
  <c r="V86" i="1"/>
  <c r="L45" i="1"/>
  <c r="Y44" i="1"/>
  <c r="Y55" i="1"/>
  <c r="F81" i="1"/>
  <c r="Y81" i="1" s="1"/>
  <c r="Y80" i="1"/>
  <c r="W34" i="1"/>
  <c r="W35" i="1" s="1"/>
  <c r="P34" i="1"/>
  <c r="P35" i="1" s="1"/>
  <c r="U31" i="1"/>
  <c r="U34" i="1" s="1"/>
  <c r="U35" i="1" s="1"/>
  <c r="O86" i="1"/>
  <c r="S62" i="1"/>
  <c r="S86" i="1" s="1"/>
  <c r="S87" i="1" s="1"/>
  <c r="S88" i="1" s="1"/>
  <c r="Y85" i="1"/>
  <c r="Q34" i="1"/>
  <c r="Q35" i="1" s="1"/>
  <c r="Q87" i="1" s="1"/>
  <c r="Q88" i="1" s="1"/>
  <c r="Y27" i="1"/>
  <c r="E34" i="1"/>
  <c r="E35" i="1" s="1"/>
  <c r="H86" i="1"/>
  <c r="Y61" i="1"/>
  <c r="D86" i="1"/>
  <c r="D87" i="1" s="1"/>
  <c r="D88" i="1" s="1"/>
  <c r="B77" i="1"/>
  <c r="Y77" i="1" s="1"/>
  <c r="F12" i="1"/>
  <c r="Y58" i="1"/>
  <c r="P51" i="1"/>
  <c r="P87" i="1" l="1"/>
  <c r="P88" i="1" s="1"/>
  <c r="C86" i="1"/>
  <c r="C87" i="1" s="1"/>
  <c r="C88" i="1" s="1"/>
  <c r="W87" i="1"/>
  <c r="W88" i="1" s="1"/>
  <c r="Y40" i="1"/>
  <c r="M34" i="1"/>
  <c r="M35" i="1" s="1"/>
  <c r="T87" i="1"/>
  <c r="T88" i="1" s="1"/>
  <c r="Y62" i="1"/>
  <c r="M87" i="1"/>
  <c r="M88" i="1" s="1"/>
  <c r="U87" i="1"/>
  <c r="U88" i="1" s="1"/>
  <c r="B86" i="1"/>
  <c r="Y21" i="1"/>
  <c r="B34" i="1"/>
  <c r="V87" i="1"/>
  <c r="V88" i="1" s="1"/>
  <c r="N87" i="1"/>
  <c r="N88" i="1" s="1"/>
  <c r="E87" i="1"/>
  <c r="E88" i="1" s="1"/>
  <c r="F34" i="1"/>
  <c r="F35" i="1" s="1"/>
  <c r="F87" i="1" s="1"/>
  <c r="F88" i="1" s="1"/>
  <c r="Y12" i="1"/>
  <c r="L86" i="1"/>
  <c r="Y31" i="1"/>
  <c r="L34" i="1"/>
  <c r="L35" i="1" s="1"/>
  <c r="L87" i="1" s="1"/>
  <c r="L88" i="1" s="1"/>
  <c r="Y34" i="1" l="1"/>
  <c r="B35" i="1"/>
  <c r="Y86" i="1"/>
  <c r="Y35" i="1" l="1"/>
  <c r="B87" i="1"/>
  <c r="Y87" i="1" l="1"/>
  <c r="B88" i="1"/>
  <c r="Y88" i="1" s="1"/>
</calcChain>
</file>

<file path=xl/sharedStrings.xml><?xml version="1.0" encoding="utf-8"?>
<sst xmlns="http://schemas.openxmlformats.org/spreadsheetml/2006/main" count="110" uniqueCount="110">
  <si>
    <t>Baseball Boosters</t>
  </si>
  <si>
    <t>Bowling Boosters</t>
  </si>
  <si>
    <t>Boys Basketball Boosters</t>
  </si>
  <si>
    <t>Boys Fencing</t>
  </si>
  <si>
    <t>Boys Lacrosse Boosters</t>
  </si>
  <si>
    <t>Boys Soccer</t>
  </si>
  <si>
    <t>Boys Volleyball</t>
  </si>
  <si>
    <t>Cheerleading Boosters</t>
  </si>
  <si>
    <t>Competetive Cheer</t>
  </si>
  <si>
    <t>Cross Country Boosters</t>
  </si>
  <si>
    <t>Football Boosters</t>
  </si>
  <si>
    <t>General Fund</t>
  </si>
  <si>
    <t>Girls Basketball Boosters</t>
  </si>
  <si>
    <t>Girls Golf</t>
  </si>
  <si>
    <t>Girls Lacrosse Boosters</t>
  </si>
  <si>
    <t>Girls Soccer Boosters</t>
  </si>
  <si>
    <t>Girls Tennis Boosters</t>
  </si>
  <si>
    <t>Girls Volleyball</t>
  </si>
  <si>
    <t>Gymnastics Boosters</t>
  </si>
  <si>
    <t>Hockey Boosters</t>
  </si>
  <si>
    <t>Softball</t>
  </si>
  <si>
    <t>Track Boosters</t>
  </si>
  <si>
    <t>Wrestling Boosters</t>
  </si>
  <si>
    <t>TOTAL</t>
  </si>
  <si>
    <t>Income</t>
  </si>
  <si>
    <t xml:space="preserve">   43400 Direct Public Support</t>
  </si>
  <si>
    <t xml:space="preserve">      43415 Individual Contributions</t>
  </si>
  <si>
    <t xml:space="preserve">      43420 General Membership</t>
  </si>
  <si>
    <t xml:space="preserve">      43425 Team Specific Dues</t>
  </si>
  <si>
    <t xml:space="preserve">      43450 Individ, Business Contributions</t>
  </si>
  <si>
    <t xml:space="preserve">   Total 43400 Direct Public Support</t>
  </si>
  <si>
    <t xml:space="preserve">   45000 Investments</t>
  </si>
  <si>
    <t xml:space="preserve">      45030 Interest-Savings, Short-term CD</t>
  </si>
  <si>
    <t xml:space="preserve">   Total 45000 Investments</t>
  </si>
  <si>
    <t xml:space="preserve">   46400 Other Types of Income</t>
  </si>
  <si>
    <t xml:space="preserve">      46410 Program Advertising</t>
  </si>
  <si>
    <t xml:space="preserve">      46422 Merchandise Sales-Apparel</t>
  </si>
  <si>
    <t xml:space="preserve">      46423 Magnet Sales</t>
  </si>
  <si>
    <t xml:space="preserve">      46426 Merchandise Sales-Team Concess</t>
  </si>
  <si>
    <t xml:space="preserve">   Total 46400 Other Types of Income</t>
  </si>
  <si>
    <t xml:space="preserve">   47200 Program Income</t>
  </si>
  <si>
    <t xml:space="preserve">      47230 Membership Dues</t>
  </si>
  <si>
    <t xml:space="preserve">   Total 47200 Program Income</t>
  </si>
  <si>
    <t xml:space="preserve">   49000 Special Events Income</t>
  </si>
  <si>
    <t xml:space="preserve">      49050 Tournament Fee Revenue</t>
  </si>
  <si>
    <t xml:space="preserve">      49100 Team Dinner Ticket Sales</t>
  </si>
  <si>
    <t xml:space="preserve">      49150 Online fundraisers(Snapraise and similar)</t>
  </si>
  <si>
    <t xml:space="preserve">      49250 Team Car Wash</t>
  </si>
  <si>
    <t xml:space="preserve">      49500 Other Fundraisers</t>
  </si>
  <si>
    <t xml:space="preserve">   Total 49000 Special Events Income</t>
  </si>
  <si>
    <t xml:space="preserve">   Returned Check Charges</t>
  </si>
  <si>
    <t xml:space="preserve">   Services</t>
  </si>
  <si>
    <t>Total Income</t>
  </si>
  <si>
    <t>Gross Profit</t>
  </si>
  <si>
    <t>Expenses</t>
  </si>
  <si>
    <t xml:space="preserve">   50600 Cost of Concession Stand Invent</t>
  </si>
  <si>
    <t xml:space="preserve">      50625 Cost of Sales-Concession Food</t>
  </si>
  <si>
    <t xml:space="preserve">      50626 Consession Revenue Allocation</t>
  </si>
  <si>
    <t xml:space="preserve">   Total 50600 Cost of Concession Stand Invent</t>
  </si>
  <si>
    <t xml:space="preserve">   50700 Cost of Sales - Inventory Sales</t>
  </si>
  <si>
    <t xml:space="preserve">      50750 Cost of Sales-Fundraising</t>
  </si>
  <si>
    <t xml:space="preserve">      50755 Cost of Membership Giveaway</t>
  </si>
  <si>
    <t xml:space="preserve">      50760 Cost of Athlete TShirts</t>
  </si>
  <si>
    <t xml:space="preserve">   Total 50700 Cost of Sales - Inventory Sales</t>
  </si>
  <si>
    <t xml:space="preserve">   60350 Donations</t>
  </si>
  <si>
    <t xml:space="preserve">   60900 Business Expenses</t>
  </si>
  <si>
    <t xml:space="preserve">      60910 Team Dinner Catering</t>
  </si>
  <si>
    <t xml:space="preserve">      60915 Team Dinner Expenses noncater</t>
  </si>
  <si>
    <t xml:space="preserve">      60955 Tournaments</t>
  </si>
  <si>
    <t xml:space="preserve">   Total 60900 Business Expenses</t>
  </si>
  <si>
    <t xml:space="preserve">   62100 Contract Services</t>
  </si>
  <si>
    <t xml:space="preserve">      62110 Accounting Fees</t>
  </si>
  <si>
    <t xml:space="preserve">      62120 Website related expenses</t>
  </si>
  <si>
    <t xml:space="preserve">         62125 Website maintenance fees</t>
  </si>
  <si>
    <t xml:space="preserve">      Total 62120 Website related expenses</t>
  </si>
  <si>
    <t xml:space="preserve">      62150 Outside Contract Services</t>
  </si>
  <si>
    <t xml:space="preserve">         62155 Choreography</t>
  </si>
  <si>
    <t xml:space="preserve">         62170 Coaching Tools</t>
  </si>
  <si>
    <t xml:space="preserve">         62185 Team Training</t>
  </si>
  <si>
    <t xml:space="preserve">      Total 62150 Outside Contract Services</t>
  </si>
  <si>
    <t xml:space="preserve">   Total 62100 Contract Services</t>
  </si>
  <si>
    <t xml:space="preserve">   62800 Facilities and Equipment</t>
  </si>
  <si>
    <t xml:space="preserve">      62820 Team Equipment</t>
  </si>
  <si>
    <t xml:space="preserve">      62835 Concession Stand Equipment</t>
  </si>
  <si>
    <t xml:space="preserve">      62890 Facilities Rental, Park, Util</t>
  </si>
  <si>
    <t xml:space="preserve">   Total 62800 Facilities and Equipment</t>
  </si>
  <si>
    <t xml:space="preserve">   65000 Operations</t>
  </si>
  <si>
    <t xml:space="preserve">      65020 Postage, Mailing Service</t>
  </si>
  <si>
    <t xml:space="preserve">      65030 Printing and Copying</t>
  </si>
  <si>
    <t xml:space="preserve">      65032 Program Printing &amp; Design FR</t>
  </si>
  <si>
    <t xml:space="preserve">      65035 Team Supplies</t>
  </si>
  <si>
    <t xml:space="preserve">      65040 General Supplies</t>
  </si>
  <si>
    <t xml:space="preserve">      65045 Uniforms &amp; Practice Apparel</t>
  </si>
  <si>
    <t xml:space="preserve">      65060 Meals &amp; Catering</t>
  </si>
  <si>
    <t xml:space="preserve">      65065 League Fees</t>
  </si>
  <si>
    <t xml:space="preserve">   Total 65000 Operations</t>
  </si>
  <si>
    <t xml:space="preserve">   65100 Other Types of Expenses</t>
  </si>
  <si>
    <t xml:space="preserve">      65150 Bank Charges</t>
  </si>
  <si>
    <t xml:space="preserve">      65160 Other Costs</t>
  </si>
  <si>
    <t xml:space="preserve">   Total 65100 Other Types of Expenses</t>
  </si>
  <si>
    <t xml:space="preserve">   65200 Senior night</t>
  </si>
  <si>
    <t xml:space="preserve">   68300 Travel and Meetings</t>
  </si>
  <si>
    <t xml:space="preserve">      68320 Travel</t>
  </si>
  <si>
    <t xml:space="preserve">   Total 68300 Travel and Meetings</t>
  </si>
  <si>
    <t>Total Expenses</t>
  </si>
  <si>
    <t>Net Operating Income</t>
  </si>
  <si>
    <t>Net Income</t>
  </si>
  <si>
    <t>Ramapo Athletic Boosters Inc.</t>
  </si>
  <si>
    <t>Profit and Loss by Class</t>
  </si>
  <si>
    <t>July - December,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</si>
</sst>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9"/>
  <sheetViews>
    <sheetView tabSelected="1" workbookViewId="0">
      <selection activeCell="D102" sqref="D102"/>
    </sheetView>
  </sheetViews>
  <sheetFormatPr defaultRowHeight="14.4" x14ac:dyDescent="0.3"/>
  <cols>
    <col min="1" max="1" width="46.44140625" customWidth="1"/>
    <col min="2" max="2" width="10.33203125" customWidth="1"/>
    <col min="3" max="3" width="7.77734375" customWidth="1"/>
    <col min="4" max="5" width="10.33203125" customWidth="1"/>
    <col min="6" max="7" width="9.44140625" customWidth="1"/>
    <col min="8" max="9" width="8.5546875" customWidth="1"/>
    <col min="10" max="10" width="11.21875" customWidth="1"/>
    <col min="11" max="11" width="8.5546875" customWidth="1"/>
    <col min="12" max="12" width="11.21875" customWidth="1"/>
    <col min="13" max="14" width="10.33203125" customWidth="1"/>
    <col min="15" max="15" width="8.5546875" customWidth="1"/>
    <col min="16" max="16" width="10.33203125" customWidth="1"/>
    <col min="17" max="17" width="9.44140625" customWidth="1"/>
    <col min="18" max="20" width="8.5546875" customWidth="1"/>
    <col min="21" max="21" width="9.44140625" customWidth="1"/>
    <col min="22" max="22" width="10.33203125" customWidth="1"/>
    <col min="23" max="23" width="8.5546875" customWidth="1"/>
    <col min="24" max="25" width="10.33203125" customWidth="1"/>
  </cols>
  <sheetData>
    <row r="1" spans="1:25" ht="17.399999999999999" x14ac:dyDescent="0.3">
      <c r="A1" s="9" t="s">
        <v>107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7.399999999999999" x14ac:dyDescent="0.3">
      <c r="A2" s="9" t="s">
        <v>108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x14ac:dyDescent="0.3">
      <c r="A3" s="10" t="s">
        <v>109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5" spans="1:25" ht="36.6" x14ac:dyDescent="0.3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</row>
    <row r="6" spans="1:25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3">
      <c r="A7" s="3" t="s">
        <v>25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>
        <f t="shared" ref="Y7:Y35" si="0">((((((((((((((((((((((B7)+(C7))+(D7))+(E7))+(F7))+(G7))+(H7))+(I7))+(J7))+(K7))+(L7))+(M7))+(N7))+(O7))+(P7))+(Q7))+(R7))+(S7))+(T7))+(U7))+(V7))+(W7))+(X7)</f>
        <v>0</v>
      </c>
    </row>
    <row r="8" spans="1:25" x14ac:dyDescent="0.3">
      <c r="A8" s="3" t="s">
        <v>26</v>
      </c>
      <c r="B8" s="4"/>
      <c r="C8" s="4"/>
      <c r="D8" s="5">
        <f>96.8</f>
        <v>96.8</v>
      </c>
      <c r="E8" s="4"/>
      <c r="F8" s="4"/>
      <c r="G8" s="5">
        <f>145.05</f>
        <v>145.05000000000001</v>
      </c>
      <c r="H8" s="4"/>
      <c r="I8" s="4"/>
      <c r="J8" s="4"/>
      <c r="K8" s="4"/>
      <c r="L8" s="5">
        <f>3000</f>
        <v>3000</v>
      </c>
      <c r="M8" s="5">
        <f>145.04</f>
        <v>145.04</v>
      </c>
      <c r="N8" s="5">
        <f>193.9</f>
        <v>193.9</v>
      </c>
      <c r="O8" s="4"/>
      <c r="P8" s="4"/>
      <c r="Q8" s="5">
        <f>72.52</f>
        <v>72.52</v>
      </c>
      <c r="R8" s="4"/>
      <c r="S8" s="5">
        <f>1700</f>
        <v>1700</v>
      </c>
      <c r="T8" s="4"/>
      <c r="U8" s="4"/>
      <c r="V8" s="4"/>
      <c r="W8" s="5">
        <f>1320</f>
        <v>1320</v>
      </c>
      <c r="X8" s="5">
        <f>48.25</f>
        <v>48.25</v>
      </c>
      <c r="Y8" s="5">
        <f t="shared" si="0"/>
        <v>6721.5599999999995</v>
      </c>
    </row>
    <row r="9" spans="1:25" x14ac:dyDescent="0.3">
      <c r="A9" s="3" t="s">
        <v>27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>
        <f>15918.84</f>
        <v>15918.84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">
        <f t="shared" si="0"/>
        <v>15918.84</v>
      </c>
    </row>
    <row r="10" spans="1:25" x14ac:dyDescent="0.3">
      <c r="A10" s="3" t="s">
        <v>28</v>
      </c>
      <c r="B10" s="4"/>
      <c r="C10" s="4"/>
      <c r="D10" s="4"/>
      <c r="E10" s="4"/>
      <c r="F10" s="5">
        <f>8025</f>
        <v>8025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>
        <f>34000</f>
        <v>34000</v>
      </c>
      <c r="V10" s="4"/>
      <c r="W10" s="4"/>
      <c r="X10" s="4"/>
      <c r="Y10" s="5">
        <f t="shared" si="0"/>
        <v>42025</v>
      </c>
    </row>
    <row r="11" spans="1:25" x14ac:dyDescent="0.3">
      <c r="A11" s="3" t="s">
        <v>29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>
        <f>500</f>
        <v>500</v>
      </c>
      <c r="V11" s="4"/>
      <c r="W11" s="4"/>
      <c r="X11" s="4"/>
      <c r="Y11" s="5">
        <f t="shared" si="0"/>
        <v>500</v>
      </c>
    </row>
    <row r="12" spans="1:25" x14ac:dyDescent="0.3">
      <c r="A12" s="3" t="s">
        <v>30</v>
      </c>
      <c r="B12" s="6">
        <f t="shared" ref="B12:X12" si="1">((((B7)+(B8))+(B9))+(B10))+(B11)</f>
        <v>0</v>
      </c>
      <c r="C12" s="6">
        <f t="shared" si="1"/>
        <v>0</v>
      </c>
      <c r="D12" s="6">
        <f t="shared" si="1"/>
        <v>96.8</v>
      </c>
      <c r="E12" s="6">
        <f t="shared" si="1"/>
        <v>0</v>
      </c>
      <c r="F12" s="6">
        <f t="shared" si="1"/>
        <v>8025</v>
      </c>
      <c r="G12" s="6">
        <f t="shared" si="1"/>
        <v>145.05000000000001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3000</v>
      </c>
      <c r="M12" s="6">
        <f t="shared" si="1"/>
        <v>16063.880000000001</v>
      </c>
      <c r="N12" s="6">
        <f t="shared" si="1"/>
        <v>193.9</v>
      </c>
      <c r="O12" s="6">
        <f t="shared" si="1"/>
        <v>0</v>
      </c>
      <c r="P12" s="6">
        <f t="shared" si="1"/>
        <v>0</v>
      </c>
      <c r="Q12" s="6">
        <f t="shared" si="1"/>
        <v>72.52</v>
      </c>
      <c r="R12" s="6">
        <f t="shared" si="1"/>
        <v>0</v>
      </c>
      <c r="S12" s="6">
        <f t="shared" si="1"/>
        <v>1700</v>
      </c>
      <c r="T12" s="6">
        <f t="shared" si="1"/>
        <v>0</v>
      </c>
      <c r="U12" s="6">
        <f t="shared" si="1"/>
        <v>34500</v>
      </c>
      <c r="V12" s="6">
        <f t="shared" si="1"/>
        <v>0</v>
      </c>
      <c r="W12" s="6">
        <f t="shared" si="1"/>
        <v>1320</v>
      </c>
      <c r="X12" s="6">
        <f t="shared" si="1"/>
        <v>48.25</v>
      </c>
      <c r="Y12" s="6">
        <f t="shared" si="0"/>
        <v>65165.400000000009</v>
      </c>
    </row>
    <row r="13" spans="1:25" x14ac:dyDescent="0.3">
      <c r="A13" s="3" t="s">
        <v>31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5">
        <f t="shared" si="0"/>
        <v>0</v>
      </c>
    </row>
    <row r="14" spans="1:25" x14ac:dyDescent="0.3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>
        <f>45.98</f>
        <v>45.98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">
        <f t="shared" si="0"/>
        <v>45.98</v>
      </c>
    </row>
    <row r="15" spans="1:25" x14ac:dyDescent="0.3">
      <c r="A15" s="3" t="s">
        <v>33</v>
      </c>
      <c r="B15" s="6">
        <f t="shared" ref="B15:X15" si="2">(B13)+(B14)</f>
        <v>0</v>
      </c>
      <c r="C15" s="6">
        <f t="shared" si="2"/>
        <v>0</v>
      </c>
      <c r="D15" s="6">
        <f t="shared" si="2"/>
        <v>0</v>
      </c>
      <c r="E15" s="6">
        <f t="shared" si="2"/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45.98</v>
      </c>
      <c r="N15" s="6">
        <f t="shared" si="2"/>
        <v>0</v>
      </c>
      <c r="O15" s="6">
        <f t="shared" si="2"/>
        <v>0</v>
      </c>
      <c r="P15" s="6">
        <f t="shared" si="2"/>
        <v>0</v>
      </c>
      <c r="Q15" s="6">
        <f t="shared" si="2"/>
        <v>0</v>
      </c>
      <c r="R15" s="6">
        <f t="shared" si="2"/>
        <v>0</v>
      </c>
      <c r="S15" s="6">
        <f t="shared" si="2"/>
        <v>0</v>
      </c>
      <c r="T15" s="6">
        <f t="shared" si="2"/>
        <v>0</v>
      </c>
      <c r="U15" s="6">
        <f t="shared" si="2"/>
        <v>0</v>
      </c>
      <c r="V15" s="6">
        <f t="shared" si="2"/>
        <v>0</v>
      </c>
      <c r="W15" s="6">
        <f t="shared" si="2"/>
        <v>0</v>
      </c>
      <c r="X15" s="6">
        <f t="shared" si="2"/>
        <v>0</v>
      </c>
      <c r="Y15" s="6">
        <f t="shared" si="0"/>
        <v>45.98</v>
      </c>
    </row>
    <row r="16" spans="1:25" x14ac:dyDescent="0.3">
      <c r="A16" s="3" t="s">
        <v>34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5">
        <f t="shared" si="0"/>
        <v>0</v>
      </c>
    </row>
    <row r="17" spans="1:25" x14ac:dyDescent="0.3">
      <c r="A17" s="3" t="s">
        <v>35</v>
      </c>
      <c r="B17" s="4"/>
      <c r="C17" s="4"/>
      <c r="D17" s="4"/>
      <c r="E17" s="4"/>
      <c r="F17" s="4"/>
      <c r="G17" s="4"/>
      <c r="H17" s="4"/>
      <c r="I17" s="5">
        <f>400</f>
        <v>400</v>
      </c>
      <c r="J17" s="4"/>
      <c r="K17" s="4"/>
      <c r="L17" s="5">
        <f>10385</f>
        <v>10385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5">
        <f t="shared" si="0"/>
        <v>10785</v>
      </c>
    </row>
    <row r="18" spans="1:25" x14ac:dyDescent="0.3">
      <c r="A18" s="3" t="s">
        <v>36</v>
      </c>
      <c r="B18" s="5">
        <f>928</f>
        <v>928</v>
      </c>
      <c r="C18" s="4"/>
      <c r="D18" s="4"/>
      <c r="E18" s="4"/>
      <c r="F18" s="4"/>
      <c r="G18" s="4"/>
      <c r="H18" s="4"/>
      <c r="I18" s="5">
        <f>2980</f>
        <v>2980</v>
      </c>
      <c r="J18" s="4"/>
      <c r="K18" s="4"/>
      <c r="L18" s="4"/>
      <c r="M18" s="5">
        <f>366.3</f>
        <v>366.3</v>
      </c>
      <c r="N18" s="4"/>
      <c r="O18" s="4"/>
      <c r="P18" s="4"/>
      <c r="Q18" s="4"/>
      <c r="R18" s="4"/>
      <c r="S18" s="4"/>
      <c r="T18" s="4"/>
      <c r="U18" s="5">
        <f>2825.09</f>
        <v>2825.09</v>
      </c>
      <c r="V18" s="5">
        <f>109.75</f>
        <v>109.75</v>
      </c>
      <c r="W18" s="4"/>
      <c r="X18" s="4"/>
      <c r="Y18" s="5">
        <f t="shared" si="0"/>
        <v>7209.14</v>
      </c>
    </row>
    <row r="19" spans="1:25" x14ac:dyDescent="0.3">
      <c r="A19" s="3" t="s">
        <v>37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>
        <f>186.22</f>
        <v>186.22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>
        <f t="shared" si="0"/>
        <v>186.22</v>
      </c>
    </row>
    <row r="20" spans="1:25" x14ac:dyDescent="0.3">
      <c r="A20" s="3" t="s">
        <v>38</v>
      </c>
      <c r="B20" s="4"/>
      <c r="C20" s="4"/>
      <c r="D20" s="4"/>
      <c r="E20" s="4"/>
      <c r="F20" s="4"/>
      <c r="G20" s="5">
        <f>1410</f>
        <v>1410</v>
      </c>
      <c r="H20" s="4"/>
      <c r="I20" s="4"/>
      <c r="J20" s="4"/>
      <c r="K20" s="4"/>
      <c r="L20" s="5">
        <f>25367.1</f>
        <v>25367.1</v>
      </c>
      <c r="M20" s="5">
        <f>7754</f>
        <v>7754</v>
      </c>
      <c r="N20" s="4"/>
      <c r="O20" s="4"/>
      <c r="P20" s="4"/>
      <c r="Q20" s="4"/>
      <c r="R20" s="4"/>
      <c r="S20" s="4"/>
      <c r="T20" s="4"/>
      <c r="U20" s="4"/>
      <c r="V20" s="4"/>
      <c r="W20" s="5">
        <f>350</f>
        <v>350</v>
      </c>
      <c r="X20" s="4"/>
      <c r="Y20" s="5">
        <f t="shared" si="0"/>
        <v>34881.1</v>
      </c>
    </row>
    <row r="21" spans="1:25" x14ac:dyDescent="0.3">
      <c r="A21" s="3" t="s">
        <v>39</v>
      </c>
      <c r="B21" s="6">
        <f t="shared" ref="B21:X21" si="3">((((B16)+(B17))+(B18))+(B19))+(B20)</f>
        <v>928</v>
      </c>
      <c r="C21" s="6">
        <f t="shared" si="3"/>
        <v>0</v>
      </c>
      <c r="D21" s="6">
        <f t="shared" si="3"/>
        <v>0</v>
      </c>
      <c r="E21" s="6">
        <f t="shared" si="3"/>
        <v>0</v>
      </c>
      <c r="F21" s="6">
        <f t="shared" si="3"/>
        <v>0</v>
      </c>
      <c r="G21" s="6">
        <f t="shared" si="3"/>
        <v>1410</v>
      </c>
      <c r="H21" s="6">
        <f t="shared" si="3"/>
        <v>0</v>
      </c>
      <c r="I21" s="6">
        <f t="shared" si="3"/>
        <v>3380</v>
      </c>
      <c r="J21" s="6">
        <f t="shared" si="3"/>
        <v>0</v>
      </c>
      <c r="K21" s="6">
        <f t="shared" si="3"/>
        <v>0</v>
      </c>
      <c r="L21" s="6">
        <f t="shared" si="3"/>
        <v>35752.1</v>
      </c>
      <c r="M21" s="6">
        <f t="shared" si="3"/>
        <v>8306.52</v>
      </c>
      <c r="N21" s="6">
        <f t="shared" si="3"/>
        <v>0</v>
      </c>
      <c r="O21" s="6">
        <f t="shared" si="3"/>
        <v>0</v>
      </c>
      <c r="P21" s="6">
        <f t="shared" si="3"/>
        <v>0</v>
      </c>
      <c r="Q21" s="6">
        <f t="shared" si="3"/>
        <v>0</v>
      </c>
      <c r="R21" s="6">
        <f t="shared" si="3"/>
        <v>0</v>
      </c>
      <c r="S21" s="6">
        <f t="shared" si="3"/>
        <v>0</v>
      </c>
      <c r="T21" s="6">
        <f t="shared" si="3"/>
        <v>0</v>
      </c>
      <c r="U21" s="6">
        <f t="shared" si="3"/>
        <v>2825.09</v>
      </c>
      <c r="V21" s="6">
        <f t="shared" si="3"/>
        <v>109.75</v>
      </c>
      <c r="W21" s="6">
        <f t="shared" si="3"/>
        <v>350</v>
      </c>
      <c r="X21" s="6">
        <f t="shared" si="3"/>
        <v>0</v>
      </c>
      <c r="Y21" s="6">
        <f t="shared" si="0"/>
        <v>53061.459999999992</v>
      </c>
    </row>
    <row r="22" spans="1:25" x14ac:dyDescent="0.3">
      <c r="A22" s="3" t="s">
        <v>40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5">
        <f t="shared" si="0"/>
        <v>0</v>
      </c>
    </row>
    <row r="23" spans="1:25" x14ac:dyDescent="0.3">
      <c r="A23" s="3" t="s">
        <v>41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>72.52</f>
        <v>72.52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5">
        <f t="shared" si="0"/>
        <v>72.52</v>
      </c>
    </row>
    <row r="24" spans="1:25" x14ac:dyDescent="0.3">
      <c r="A24" s="3" t="s">
        <v>42</v>
      </c>
      <c r="B24" s="6">
        <f t="shared" ref="B24:X24" si="4">(B22)+(B23)</f>
        <v>0</v>
      </c>
      <c r="C24" s="6">
        <f t="shared" si="4"/>
        <v>0</v>
      </c>
      <c r="D24" s="6">
        <f t="shared" si="4"/>
        <v>0</v>
      </c>
      <c r="E24" s="6">
        <f t="shared" si="4"/>
        <v>0</v>
      </c>
      <c r="F24" s="6">
        <f t="shared" si="4"/>
        <v>0</v>
      </c>
      <c r="G24" s="6">
        <f t="shared" si="4"/>
        <v>0</v>
      </c>
      <c r="H24" s="6">
        <f t="shared" si="4"/>
        <v>0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 t="shared" si="4"/>
        <v>72.52</v>
      </c>
      <c r="N24" s="6">
        <f t="shared" si="4"/>
        <v>0</v>
      </c>
      <c r="O24" s="6">
        <f t="shared" si="4"/>
        <v>0</v>
      </c>
      <c r="P24" s="6">
        <f t="shared" si="4"/>
        <v>0</v>
      </c>
      <c r="Q24" s="6">
        <f t="shared" si="4"/>
        <v>0</v>
      </c>
      <c r="R24" s="6">
        <f t="shared" si="4"/>
        <v>0</v>
      </c>
      <c r="S24" s="6">
        <f t="shared" si="4"/>
        <v>0</v>
      </c>
      <c r="T24" s="6">
        <f t="shared" si="4"/>
        <v>0</v>
      </c>
      <c r="U24" s="6">
        <f t="shared" si="4"/>
        <v>0</v>
      </c>
      <c r="V24" s="6">
        <f t="shared" si="4"/>
        <v>0</v>
      </c>
      <c r="W24" s="6">
        <f t="shared" si="4"/>
        <v>0</v>
      </c>
      <c r="X24" s="6">
        <f t="shared" si="4"/>
        <v>0</v>
      </c>
      <c r="Y24" s="6">
        <f t="shared" si="0"/>
        <v>72.52</v>
      </c>
    </row>
    <row r="25" spans="1:25" x14ac:dyDescent="0.3">
      <c r="A25" s="3" t="s">
        <v>43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5">
        <f t="shared" si="0"/>
        <v>0</v>
      </c>
    </row>
    <row r="26" spans="1:25" x14ac:dyDescent="0.3">
      <c r="A26" s="3" t="s">
        <v>44</v>
      </c>
      <c r="B26" s="4"/>
      <c r="C26" s="4"/>
      <c r="D26" s="4"/>
      <c r="E26" s="4"/>
      <c r="F26" s="5">
        <f>855</f>
        <v>855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5">
        <f t="shared" si="0"/>
        <v>855</v>
      </c>
    </row>
    <row r="27" spans="1:25" x14ac:dyDescent="0.3">
      <c r="A27" s="3" t="s">
        <v>45</v>
      </c>
      <c r="B27" s="4"/>
      <c r="C27" s="4"/>
      <c r="D27" s="4"/>
      <c r="E27" s="5">
        <f>815</f>
        <v>815</v>
      </c>
      <c r="F27" s="5">
        <f>5346.3</f>
        <v>5346.3</v>
      </c>
      <c r="G27" s="5">
        <f>6545</f>
        <v>6545</v>
      </c>
      <c r="H27" s="4"/>
      <c r="I27" s="4"/>
      <c r="J27" s="4"/>
      <c r="K27" s="5">
        <f>160</f>
        <v>160</v>
      </c>
      <c r="L27" s="4"/>
      <c r="M27" s="4"/>
      <c r="N27" s="4"/>
      <c r="O27" s="4"/>
      <c r="P27" s="4"/>
      <c r="Q27" s="4"/>
      <c r="R27" s="4"/>
      <c r="S27" s="4"/>
      <c r="T27" s="5">
        <f>675</f>
        <v>675</v>
      </c>
      <c r="U27" s="5">
        <f>4150</f>
        <v>4150</v>
      </c>
      <c r="V27" s="4"/>
      <c r="W27" s="4"/>
      <c r="X27" s="4"/>
      <c r="Y27" s="5">
        <f t="shared" si="0"/>
        <v>17691.3</v>
      </c>
    </row>
    <row r="28" spans="1:25" x14ac:dyDescent="0.3">
      <c r="A28" s="3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5">
        <f>43333.51</f>
        <v>43333.51</v>
      </c>
      <c r="M28" s="4"/>
      <c r="N28" s="4"/>
      <c r="O28" s="4"/>
      <c r="P28" s="4"/>
      <c r="Q28" s="5">
        <f>19081.4</f>
        <v>19081.400000000001</v>
      </c>
      <c r="R28" s="4"/>
      <c r="S28" s="4"/>
      <c r="T28" s="4"/>
      <c r="U28" s="4"/>
      <c r="V28" s="4"/>
      <c r="W28" s="4"/>
      <c r="X28" s="4"/>
      <c r="Y28" s="5">
        <f t="shared" si="0"/>
        <v>62414.91</v>
      </c>
    </row>
    <row r="29" spans="1:25" x14ac:dyDescent="0.3">
      <c r="A29" s="3" t="s">
        <v>47</v>
      </c>
      <c r="B29" s="4"/>
      <c r="C29" s="4"/>
      <c r="D29" s="4"/>
      <c r="E29" s="4"/>
      <c r="F29" s="4"/>
      <c r="G29" s="5">
        <f>9750</f>
        <v>9750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5">
        <f t="shared" si="0"/>
        <v>9750</v>
      </c>
    </row>
    <row r="30" spans="1:25" x14ac:dyDescent="0.3">
      <c r="A30" s="3" t="s">
        <v>48</v>
      </c>
      <c r="B30" s="4"/>
      <c r="C30" s="4"/>
      <c r="D30" s="4"/>
      <c r="E30" s="5">
        <f>-815</f>
        <v>-815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>
        <f>1794</f>
        <v>1794</v>
      </c>
      <c r="V30" s="4"/>
      <c r="W30" s="4"/>
      <c r="X30" s="4"/>
      <c r="Y30" s="5">
        <f t="shared" si="0"/>
        <v>979</v>
      </c>
    </row>
    <row r="31" spans="1:25" x14ac:dyDescent="0.3">
      <c r="A31" s="3" t="s">
        <v>49</v>
      </c>
      <c r="B31" s="6">
        <f t="shared" ref="B31:X31" si="5">(((((B25)+(B26))+(B27))+(B28))+(B29))+(B30)</f>
        <v>0</v>
      </c>
      <c r="C31" s="6">
        <f t="shared" si="5"/>
        <v>0</v>
      </c>
      <c r="D31" s="6">
        <f t="shared" si="5"/>
        <v>0</v>
      </c>
      <c r="E31" s="6">
        <f t="shared" si="5"/>
        <v>0</v>
      </c>
      <c r="F31" s="6">
        <f t="shared" si="5"/>
        <v>6201.3</v>
      </c>
      <c r="G31" s="6">
        <f t="shared" si="5"/>
        <v>16295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160</v>
      </c>
      <c r="L31" s="6">
        <f t="shared" si="5"/>
        <v>43333.51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6">
        <f t="shared" si="5"/>
        <v>0</v>
      </c>
      <c r="Q31" s="6">
        <f t="shared" si="5"/>
        <v>19081.400000000001</v>
      </c>
      <c r="R31" s="6">
        <f t="shared" si="5"/>
        <v>0</v>
      </c>
      <c r="S31" s="6">
        <f t="shared" si="5"/>
        <v>0</v>
      </c>
      <c r="T31" s="6">
        <f t="shared" si="5"/>
        <v>675</v>
      </c>
      <c r="U31" s="6">
        <f t="shared" si="5"/>
        <v>5944</v>
      </c>
      <c r="V31" s="6">
        <f t="shared" si="5"/>
        <v>0</v>
      </c>
      <c r="W31" s="6">
        <f t="shared" si="5"/>
        <v>0</v>
      </c>
      <c r="X31" s="6">
        <f t="shared" si="5"/>
        <v>0</v>
      </c>
      <c r="Y31" s="6">
        <f t="shared" si="0"/>
        <v>91690.209999999992</v>
      </c>
    </row>
    <row r="32" spans="1:25" x14ac:dyDescent="0.3">
      <c r="A32" s="3" t="s">
        <v>50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5">
        <f>-20</f>
        <v>-20</v>
      </c>
      <c r="M32" s="5">
        <f>-50</f>
        <v>-50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5">
        <f t="shared" si="0"/>
        <v>-70</v>
      </c>
    </row>
    <row r="33" spans="1:25" x14ac:dyDescent="0.3">
      <c r="A33" s="3" t="s">
        <v>51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>
        <f>0.01</f>
        <v>0.01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5">
        <f t="shared" si="0"/>
        <v>0.01</v>
      </c>
    </row>
    <row r="34" spans="1:25" x14ac:dyDescent="0.3">
      <c r="A34" s="3" t="s">
        <v>52</v>
      </c>
      <c r="B34" s="6">
        <f t="shared" ref="B34:X34" si="6">((((((B12)+(B15))+(B21))+(B24))+(B31))+(B32))+(B33)</f>
        <v>928</v>
      </c>
      <c r="C34" s="6">
        <f t="shared" si="6"/>
        <v>0</v>
      </c>
      <c r="D34" s="6">
        <f t="shared" si="6"/>
        <v>96.8</v>
      </c>
      <c r="E34" s="6">
        <f t="shared" si="6"/>
        <v>0</v>
      </c>
      <c r="F34" s="6">
        <f t="shared" si="6"/>
        <v>14226.3</v>
      </c>
      <c r="G34" s="6">
        <f t="shared" si="6"/>
        <v>17850.05</v>
      </c>
      <c r="H34" s="6">
        <f t="shared" si="6"/>
        <v>0</v>
      </c>
      <c r="I34" s="6">
        <f t="shared" si="6"/>
        <v>3380</v>
      </c>
      <c r="J34" s="6">
        <f t="shared" si="6"/>
        <v>0</v>
      </c>
      <c r="K34" s="6">
        <f t="shared" si="6"/>
        <v>160</v>
      </c>
      <c r="L34" s="6">
        <f t="shared" si="6"/>
        <v>82065.61</v>
      </c>
      <c r="M34" s="6">
        <f t="shared" si="6"/>
        <v>24438.91</v>
      </c>
      <c r="N34" s="6">
        <f t="shared" si="6"/>
        <v>193.9</v>
      </c>
      <c r="O34" s="6">
        <f t="shared" si="6"/>
        <v>0</v>
      </c>
      <c r="P34" s="6">
        <f t="shared" si="6"/>
        <v>0</v>
      </c>
      <c r="Q34" s="6">
        <f t="shared" si="6"/>
        <v>19153.920000000002</v>
      </c>
      <c r="R34" s="6">
        <f t="shared" si="6"/>
        <v>0</v>
      </c>
      <c r="S34" s="6">
        <f t="shared" si="6"/>
        <v>1700</v>
      </c>
      <c r="T34" s="6">
        <f t="shared" si="6"/>
        <v>675</v>
      </c>
      <c r="U34" s="6">
        <f t="shared" si="6"/>
        <v>43269.09</v>
      </c>
      <c r="V34" s="6">
        <f t="shared" si="6"/>
        <v>109.75</v>
      </c>
      <c r="W34" s="6">
        <f t="shared" si="6"/>
        <v>1670</v>
      </c>
      <c r="X34" s="6">
        <f t="shared" si="6"/>
        <v>48.25</v>
      </c>
      <c r="Y34" s="6">
        <f t="shared" si="0"/>
        <v>209965.58</v>
      </c>
    </row>
    <row r="35" spans="1:25" x14ac:dyDescent="0.3">
      <c r="A35" s="3" t="s">
        <v>53</v>
      </c>
      <c r="B35" s="6">
        <f t="shared" ref="B35:X35" si="7">(B34)-(0)</f>
        <v>928</v>
      </c>
      <c r="C35" s="6">
        <f t="shared" si="7"/>
        <v>0</v>
      </c>
      <c r="D35" s="6">
        <f t="shared" si="7"/>
        <v>96.8</v>
      </c>
      <c r="E35" s="6">
        <f t="shared" si="7"/>
        <v>0</v>
      </c>
      <c r="F35" s="6">
        <f t="shared" si="7"/>
        <v>14226.3</v>
      </c>
      <c r="G35" s="6">
        <f t="shared" si="7"/>
        <v>17850.05</v>
      </c>
      <c r="H35" s="6">
        <f t="shared" si="7"/>
        <v>0</v>
      </c>
      <c r="I35" s="6">
        <f t="shared" si="7"/>
        <v>3380</v>
      </c>
      <c r="J35" s="6">
        <f t="shared" si="7"/>
        <v>0</v>
      </c>
      <c r="K35" s="6">
        <f t="shared" si="7"/>
        <v>160</v>
      </c>
      <c r="L35" s="6">
        <f t="shared" si="7"/>
        <v>82065.61</v>
      </c>
      <c r="M35" s="6">
        <f t="shared" si="7"/>
        <v>24438.91</v>
      </c>
      <c r="N35" s="6">
        <f t="shared" si="7"/>
        <v>193.9</v>
      </c>
      <c r="O35" s="6">
        <f t="shared" si="7"/>
        <v>0</v>
      </c>
      <c r="P35" s="6">
        <f t="shared" si="7"/>
        <v>0</v>
      </c>
      <c r="Q35" s="6">
        <f t="shared" si="7"/>
        <v>19153.920000000002</v>
      </c>
      <c r="R35" s="6">
        <f t="shared" si="7"/>
        <v>0</v>
      </c>
      <c r="S35" s="6">
        <f t="shared" si="7"/>
        <v>1700</v>
      </c>
      <c r="T35" s="6">
        <f t="shared" si="7"/>
        <v>675</v>
      </c>
      <c r="U35" s="6">
        <f t="shared" si="7"/>
        <v>43269.09</v>
      </c>
      <c r="V35" s="6">
        <f t="shared" si="7"/>
        <v>109.75</v>
      </c>
      <c r="W35" s="6">
        <f t="shared" si="7"/>
        <v>1670</v>
      </c>
      <c r="X35" s="6">
        <f t="shared" si="7"/>
        <v>48.25</v>
      </c>
      <c r="Y35" s="6">
        <f t="shared" si="0"/>
        <v>209965.58</v>
      </c>
    </row>
    <row r="36" spans="1:25" x14ac:dyDescent="0.3">
      <c r="A36" s="3" t="s">
        <v>54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x14ac:dyDescent="0.3">
      <c r="A37" s="3" t="s">
        <v>55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>
        <f>8174.53</f>
        <v>8174.53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5">
        <f t="shared" ref="Y37:Y68" si="8">((((((((((((((((((((((B37)+(C37))+(D37))+(E37))+(F37))+(G37))+(H37))+(I37))+(J37))+(K37))+(L37))+(M37))+(N37))+(O37))+(P37))+(Q37))+(R37))+(S37))+(T37))+(U37))+(V37))+(W37))+(X37)</f>
        <v>8174.53</v>
      </c>
    </row>
    <row r="38" spans="1:25" x14ac:dyDescent="0.3">
      <c r="A38" s="3" t="s">
        <v>56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>
        <f>6129.02</f>
        <v>6129.02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5">
        <f t="shared" si="8"/>
        <v>6129.02</v>
      </c>
    </row>
    <row r="39" spans="1:25" x14ac:dyDescent="0.3">
      <c r="A39" s="3" t="s">
        <v>57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>
        <f>-4068.9</f>
        <v>-4068.9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5">
        <f t="shared" si="8"/>
        <v>-4068.9</v>
      </c>
    </row>
    <row r="40" spans="1:25" x14ac:dyDescent="0.3">
      <c r="A40" s="3" t="s">
        <v>58</v>
      </c>
      <c r="B40" s="6">
        <f t="shared" ref="B40:X40" si="9">((B37)+(B38))+(B39)</f>
        <v>0</v>
      </c>
      <c r="C40" s="6">
        <f t="shared" si="9"/>
        <v>0</v>
      </c>
      <c r="D40" s="6">
        <f t="shared" si="9"/>
        <v>0</v>
      </c>
      <c r="E40" s="6">
        <f t="shared" si="9"/>
        <v>0</v>
      </c>
      <c r="F40" s="6">
        <f t="shared" si="9"/>
        <v>0</v>
      </c>
      <c r="G40" s="6">
        <f t="shared" si="9"/>
        <v>0</v>
      </c>
      <c r="H40" s="6">
        <f t="shared" si="9"/>
        <v>0</v>
      </c>
      <c r="I40" s="6">
        <f t="shared" si="9"/>
        <v>0</v>
      </c>
      <c r="J40" s="6">
        <f t="shared" si="9"/>
        <v>0</v>
      </c>
      <c r="K40" s="6">
        <f t="shared" si="9"/>
        <v>0</v>
      </c>
      <c r="L40" s="6">
        <f t="shared" si="9"/>
        <v>0</v>
      </c>
      <c r="M40" s="6">
        <f t="shared" si="9"/>
        <v>10234.65</v>
      </c>
      <c r="N40" s="6">
        <f t="shared" si="9"/>
        <v>0</v>
      </c>
      <c r="O40" s="6">
        <f t="shared" si="9"/>
        <v>0</v>
      </c>
      <c r="P40" s="6">
        <f t="shared" si="9"/>
        <v>0</v>
      </c>
      <c r="Q40" s="6">
        <f t="shared" si="9"/>
        <v>0</v>
      </c>
      <c r="R40" s="6">
        <f t="shared" si="9"/>
        <v>0</v>
      </c>
      <c r="S40" s="6">
        <f t="shared" si="9"/>
        <v>0</v>
      </c>
      <c r="T40" s="6">
        <f t="shared" si="9"/>
        <v>0</v>
      </c>
      <c r="U40" s="6">
        <f t="shared" si="9"/>
        <v>0</v>
      </c>
      <c r="V40" s="6">
        <f t="shared" si="9"/>
        <v>0</v>
      </c>
      <c r="W40" s="6">
        <f t="shared" si="9"/>
        <v>0</v>
      </c>
      <c r="X40" s="6">
        <f t="shared" si="9"/>
        <v>0</v>
      </c>
      <c r="Y40" s="6">
        <f t="shared" si="8"/>
        <v>10234.65</v>
      </c>
    </row>
    <row r="41" spans="1:25" x14ac:dyDescent="0.3">
      <c r="A41" s="3" t="s">
        <v>59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5">
        <f t="shared" si="8"/>
        <v>0</v>
      </c>
    </row>
    <row r="42" spans="1:25" x14ac:dyDescent="0.3">
      <c r="A42" s="3" t="s">
        <v>60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5">
        <f>2109.25</f>
        <v>2109.25</v>
      </c>
      <c r="V42" s="4"/>
      <c r="W42" s="4"/>
      <c r="X42" s="4"/>
      <c r="Y42" s="5">
        <f t="shared" si="8"/>
        <v>2109.25</v>
      </c>
    </row>
    <row r="43" spans="1:25" x14ac:dyDescent="0.3">
      <c r="A43" s="3" t="s">
        <v>61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">
        <f>4046.25</f>
        <v>4046.25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5">
        <f t="shared" si="8"/>
        <v>4046.25</v>
      </c>
    </row>
    <row r="44" spans="1:25" x14ac:dyDescent="0.3">
      <c r="A44" s="3" t="s">
        <v>62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5">
        <f>1707</f>
        <v>1707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5">
        <f t="shared" si="8"/>
        <v>1707</v>
      </c>
    </row>
    <row r="45" spans="1:25" x14ac:dyDescent="0.3">
      <c r="A45" s="3" t="s">
        <v>63</v>
      </c>
      <c r="B45" s="6">
        <f t="shared" ref="B45:X45" si="10">(((B41)+(B42))+(B43))+(B44)</f>
        <v>0</v>
      </c>
      <c r="C45" s="6">
        <f t="shared" si="10"/>
        <v>0</v>
      </c>
      <c r="D45" s="6">
        <f t="shared" si="10"/>
        <v>0</v>
      </c>
      <c r="E45" s="6">
        <f t="shared" si="10"/>
        <v>0</v>
      </c>
      <c r="F45" s="6">
        <f t="shared" si="10"/>
        <v>0</v>
      </c>
      <c r="G45" s="6">
        <f t="shared" si="10"/>
        <v>0</v>
      </c>
      <c r="H45" s="6">
        <f t="shared" si="10"/>
        <v>0</v>
      </c>
      <c r="I45" s="6">
        <f t="shared" si="10"/>
        <v>0</v>
      </c>
      <c r="J45" s="6">
        <f t="shared" si="10"/>
        <v>0</v>
      </c>
      <c r="K45" s="6">
        <f t="shared" si="10"/>
        <v>0</v>
      </c>
      <c r="L45" s="6">
        <f t="shared" si="10"/>
        <v>1707</v>
      </c>
      <c r="M45" s="6">
        <f t="shared" si="10"/>
        <v>4046.25</v>
      </c>
      <c r="N45" s="6">
        <f t="shared" si="10"/>
        <v>0</v>
      </c>
      <c r="O45" s="6">
        <f t="shared" si="10"/>
        <v>0</v>
      </c>
      <c r="P45" s="6">
        <f t="shared" si="10"/>
        <v>0</v>
      </c>
      <c r="Q45" s="6">
        <f t="shared" si="10"/>
        <v>0</v>
      </c>
      <c r="R45" s="6">
        <f t="shared" si="10"/>
        <v>0</v>
      </c>
      <c r="S45" s="6">
        <f t="shared" si="10"/>
        <v>0</v>
      </c>
      <c r="T45" s="6">
        <f t="shared" si="10"/>
        <v>0</v>
      </c>
      <c r="U45" s="6">
        <f t="shared" si="10"/>
        <v>2109.25</v>
      </c>
      <c r="V45" s="6">
        <f t="shared" si="10"/>
        <v>0</v>
      </c>
      <c r="W45" s="6">
        <f t="shared" si="10"/>
        <v>0</v>
      </c>
      <c r="X45" s="6">
        <f t="shared" si="10"/>
        <v>0</v>
      </c>
      <c r="Y45" s="6">
        <f t="shared" si="8"/>
        <v>7862.5</v>
      </c>
    </row>
    <row r="46" spans="1:25" x14ac:dyDescent="0.3">
      <c r="A46" s="3" t="s">
        <v>64</v>
      </c>
      <c r="B46" s="5">
        <f>500</f>
        <v>500</v>
      </c>
      <c r="C46" s="4"/>
      <c r="D46" s="4"/>
      <c r="E46" s="4"/>
      <c r="F46" s="4"/>
      <c r="G46" s="4"/>
      <c r="H46" s="4"/>
      <c r="I46" s="4"/>
      <c r="J46" s="4"/>
      <c r="K46" s="4"/>
      <c r="L46" s="5">
        <f>595.96</f>
        <v>595.96</v>
      </c>
      <c r="M46" s="4"/>
      <c r="N46" s="4"/>
      <c r="O46" s="4"/>
      <c r="P46" s="4"/>
      <c r="Q46" s="5">
        <f>600</f>
        <v>600</v>
      </c>
      <c r="R46" s="4"/>
      <c r="S46" s="5">
        <f>300</f>
        <v>300</v>
      </c>
      <c r="T46" s="4"/>
      <c r="U46" s="4"/>
      <c r="V46" s="4"/>
      <c r="W46" s="4"/>
      <c r="X46" s="4"/>
      <c r="Y46" s="5">
        <f t="shared" si="8"/>
        <v>1995.96</v>
      </c>
    </row>
    <row r="47" spans="1:25" x14ac:dyDescent="0.3">
      <c r="A47" s="3" t="s">
        <v>65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5">
        <f t="shared" si="8"/>
        <v>0</v>
      </c>
    </row>
    <row r="48" spans="1:25" x14ac:dyDescent="0.3">
      <c r="A48" s="3" t="s">
        <v>66</v>
      </c>
      <c r="B48" s="4"/>
      <c r="C48" s="4"/>
      <c r="D48" s="4"/>
      <c r="E48" s="4"/>
      <c r="F48" s="4"/>
      <c r="G48" s="4"/>
      <c r="H48" s="4"/>
      <c r="I48" s="4"/>
      <c r="J48" s="4"/>
      <c r="K48" s="5">
        <f>729.91</f>
        <v>729.91</v>
      </c>
      <c r="L48" s="5">
        <f>14853.66</f>
        <v>14853.66</v>
      </c>
      <c r="M48" s="4"/>
      <c r="N48" s="4"/>
      <c r="O48" s="4"/>
      <c r="P48" s="5">
        <f>4118.4</f>
        <v>4118.3999999999996</v>
      </c>
      <c r="Q48" s="5">
        <f>605</f>
        <v>605</v>
      </c>
      <c r="R48" s="4"/>
      <c r="S48" s="4"/>
      <c r="T48" s="5">
        <f>1134</f>
        <v>1134</v>
      </c>
      <c r="U48" s="5">
        <f>4283.67</f>
        <v>4283.67</v>
      </c>
      <c r="V48" s="4"/>
      <c r="W48" s="4"/>
      <c r="X48" s="4"/>
      <c r="Y48" s="5">
        <f t="shared" si="8"/>
        <v>25724.639999999999</v>
      </c>
    </row>
    <row r="49" spans="1:25" x14ac:dyDescent="0.3">
      <c r="A49" s="3" t="s">
        <v>67</v>
      </c>
      <c r="B49" s="5">
        <f>120.84</f>
        <v>120.84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5">
        <f t="shared" si="8"/>
        <v>120.84</v>
      </c>
    </row>
    <row r="50" spans="1:25" x14ac:dyDescent="0.3">
      <c r="A50" s="3" t="s">
        <v>68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>
        <f>600</f>
        <v>600</v>
      </c>
      <c r="Q50" s="4"/>
      <c r="R50" s="4"/>
      <c r="S50" s="4"/>
      <c r="T50" s="4"/>
      <c r="U50" s="4"/>
      <c r="V50" s="4"/>
      <c r="W50" s="4"/>
      <c r="X50" s="4"/>
      <c r="Y50" s="5">
        <f t="shared" si="8"/>
        <v>600</v>
      </c>
    </row>
    <row r="51" spans="1:25" x14ac:dyDescent="0.3">
      <c r="A51" s="3" t="s">
        <v>69</v>
      </c>
      <c r="B51" s="6">
        <f t="shared" ref="B51:X51" si="11">(((B47)+(B48))+(B49))+(B50)</f>
        <v>120.84</v>
      </c>
      <c r="C51" s="6">
        <f t="shared" si="11"/>
        <v>0</v>
      </c>
      <c r="D51" s="6">
        <f t="shared" si="11"/>
        <v>0</v>
      </c>
      <c r="E51" s="6">
        <f t="shared" si="11"/>
        <v>0</v>
      </c>
      <c r="F51" s="6">
        <f t="shared" si="11"/>
        <v>0</v>
      </c>
      <c r="G51" s="6">
        <f t="shared" si="11"/>
        <v>0</v>
      </c>
      <c r="H51" s="6">
        <f t="shared" si="11"/>
        <v>0</v>
      </c>
      <c r="I51" s="6">
        <f t="shared" si="11"/>
        <v>0</v>
      </c>
      <c r="J51" s="6">
        <f t="shared" si="11"/>
        <v>0</v>
      </c>
      <c r="K51" s="6">
        <f t="shared" si="11"/>
        <v>729.91</v>
      </c>
      <c r="L51" s="6">
        <f t="shared" si="11"/>
        <v>14853.66</v>
      </c>
      <c r="M51" s="6">
        <f t="shared" si="11"/>
        <v>0</v>
      </c>
      <c r="N51" s="6">
        <f t="shared" si="11"/>
        <v>0</v>
      </c>
      <c r="O51" s="6">
        <f t="shared" si="11"/>
        <v>0</v>
      </c>
      <c r="P51" s="6">
        <f t="shared" si="11"/>
        <v>4718.3999999999996</v>
      </c>
      <c r="Q51" s="6">
        <f t="shared" si="11"/>
        <v>605</v>
      </c>
      <c r="R51" s="6">
        <f t="shared" si="11"/>
        <v>0</v>
      </c>
      <c r="S51" s="6">
        <f t="shared" si="11"/>
        <v>0</v>
      </c>
      <c r="T51" s="6">
        <f t="shared" si="11"/>
        <v>1134</v>
      </c>
      <c r="U51" s="6">
        <f t="shared" si="11"/>
        <v>4283.67</v>
      </c>
      <c r="V51" s="6">
        <f t="shared" si="11"/>
        <v>0</v>
      </c>
      <c r="W51" s="6">
        <f t="shared" si="11"/>
        <v>0</v>
      </c>
      <c r="X51" s="6">
        <f t="shared" si="11"/>
        <v>0</v>
      </c>
      <c r="Y51" s="6">
        <f t="shared" si="8"/>
        <v>26445.479999999996</v>
      </c>
    </row>
    <row r="52" spans="1:25" x14ac:dyDescent="0.3">
      <c r="A52" s="3" t="s">
        <v>70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5">
        <f t="shared" si="8"/>
        <v>0</v>
      </c>
    </row>
    <row r="53" spans="1:25" x14ac:dyDescent="0.3">
      <c r="A53" s="3" t="s">
        <v>71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5">
        <f>1978</f>
        <v>1978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5">
        <f t="shared" si="8"/>
        <v>1978</v>
      </c>
    </row>
    <row r="54" spans="1:25" x14ac:dyDescent="0.3">
      <c r="A54" s="3" t="s">
        <v>72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5">
        <f t="shared" si="8"/>
        <v>0</v>
      </c>
    </row>
    <row r="55" spans="1:25" x14ac:dyDescent="0.3">
      <c r="A55" s="3" t="s">
        <v>73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5">
        <f>550</f>
        <v>550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5">
        <f t="shared" si="8"/>
        <v>550</v>
      </c>
    </row>
    <row r="56" spans="1:25" x14ac:dyDescent="0.3">
      <c r="A56" s="3" t="s">
        <v>74</v>
      </c>
      <c r="B56" s="6">
        <f t="shared" ref="B56:X56" si="12">(B54)+(B55)</f>
        <v>0</v>
      </c>
      <c r="C56" s="6">
        <f t="shared" si="12"/>
        <v>0</v>
      </c>
      <c r="D56" s="6">
        <f t="shared" si="12"/>
        <v>0</v>
      </c>
      <c r="E56" s="6">
        <f t="shared" si="12"/>
        <v>0</v>
      </c>
      <c r="F56" s="6">
        <f t="shared" si="12"/>
        <v>0</v>
      </c>
      <c r="G56" s="6">
        <f t="shared" si="12"/>
        <v>0</v>
      </c>
      <c r="H56" s="6">
        <f t="shared" si="12"/>
        <v>0</v>
      </c>
      <c r="I56" s="6">
        <f t="shared" si="12"/>
        <v>0</v>
      </c>
      <c r="J56" s="6">
        <f t="shared" si="12"/>
        <v>0</v>
      </c>
      <c r="K56" s="6">
        <f t="shared" si="12"/>
        <v>0</v>
      </c>
      <c r="L56" s="6">
        <f t="shared" si="12"/>
        <v>0</v>
      </c>
      <c r="M56" s="6">
        <f t="shared" si="12"/>
        <v>550</v>
      </c>
      <c r="N56" s="6">
        <f t="shared" si="12"/>
        <v>0</v>
      </c>
      <c r="O56" s="6">
        <f t="shared" si="12"/>
        <v>0</v>
      </c>
      <c r="P56" s="6">
        <f t="shared" si="12"/>
        <v>0</v>
      </c>
      <c r="Q56" s="6">
        <f t="shared" si="12"/>
        <v>0</v>
      </c>
      <c r="R56" s="6">
        <f t="shared" si="12"/>
        <v>0</v>
      </c>
      <c r="S56" s="6">
        <f t="shared" si="12"/>
        <v>0</v>
      </c>
      <c r="T56" s="6">
        <f t="shared" si="12"/>
        <v>0</v>
      </c>
      <c r="U56" s="6">
        <f t="shared" si="12"/>
        <v>0</v>
      </c>
      <c r="V56" s="6">
        <f t="shared" si="12"/>
        <v>0</v>
      </c>
      <c r="W56" s="6">
        <f t="shared" si="12"/>
        <v>0</v>
      </c>
      <c r="X56" s="6">
        <f t="shared" si="12"/>
        <v>0</v>
      </c>
      <c r="Y56" s="6">
        <f t="shared" si="8"/>
        <v>550</v>
      </c>
    </row>
    <row r="57" spans="1:25" x14ac:dyDescent="0.3">
      <c r="A57" s="3" t="s">
        <v>75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5">
        <f t="shared" si="8"/>
        <v>0</v>
      </c>
    </row>
    <row r="58" spans="1:25" x14ac:dyDescent="0.3">
      <c r="A58" s="3" t="s">
        <v>76</v>
      </c>
      <c r="B58" s="4"/>
      <c r="C58" s="4"/>
      <c r="D58" s="4"/>
      <c r="E58" s="4"/>
      <c r="F58" s="4"/>
      <c r="G58" s="4"/>
      <c r="H58" s="4"/>
      <c r="I58" s="5">
        <f>1000</f>
        <v>1000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5">
        <f t="shared" si="8"/>
        <v>1000</v>
      </c>
    </row>
    <row r="59" spans="1:25" x14ac:dyDescent="0.3">
      <c r="A59" s="3" t="s">
        <v>77</v>
      </c>
      <c r="B59" s="4"/>
      <c r="C59" s="4"/>
      <c r="D59" s="5">
        <f>1100</f>
        <v>1100</v>
      </c>
      <c r="E59" s="4"/>
      <c r="F59" s="5">
        <f>1100</f>
        <v>1100</v>
      </c>
      <c r="G59" s="5">
        <f>599</f>
        <v>599</v>
      </c>
      <c r="H59" s="5">
        <f>790</f>
        <v>790</v>
      </c>
      <c r="I59" s="4"/>
      <c r="J59" s="4"/>
      <c r="K59" s="4"/>
      <c r="L59" s="5">
        <f>1494.88</f>
        <v>1494.88</v>
      </c>
      <c r="M59" s="5">
        <f>8350</f>
        <v>8350</v>
      </c>
      <c r="N59" s="5">
        <f>1100</f>
        <v>1100</v>
      </c>
      <c r="O59" s="4"/>
      <c r="P59" s="5">
        <f>790</f>
        <v>790</v>
      </c>
      <c r="Q59" s="5">
        <f>1290</f>
        <v>1290</v>
      </c>
      <c r="R59" s="4"/>
      <c r="S59" s="5">
        <f>790</f>
        <v>790</v>
      </c>
      <c r="T59" s="4"/>
      <c r="U59" s="4"/>
      <c r="V59" s="4"/>
      <c r="W59" s="4"/>
      <c r="X59" s="5">
        <f>790</f>
        <v>790</v>
      </c>
      <c r="Y59" s="5">
        <f t="shared" si="8"/>
        <v>18193.88</v>
      </c>
    </row>
    <row r="60" spans="1:25" x14ac:dyDescent="0.3">
      <c r="A60" s="3" t="s">
        <v>78</v>
      </c>
      <c r="B60" s="4"/>
      <c r="C60" s="4"/>
      <c r="D60" s="4"/>
      <c r="E60" s="4"/>
      <c r="F60" s="4"/>
      <c r="G60" s="5">
        <f>2383.5</f>
        <v>2383.5</v>
      </c>
      <c r="H60" s="4"/>
      <c r="I60" s="4"/>
      <c r="J60" s="4"/>
      <c r="K60" s="4"/>
      <c r="L60" s="4"/>
      <c r="M60" s="4"/>
      <c r="N60" s="4"/>
      <c r="O60" s="4"/>
      <c r="P60" s="5">
        <f>401.32</f>
        <v>401.32</v>
      </c>
      <c r="Q60" s="4"/>
      <c r="R60" s="4"/>
      <c r="S60" s="4"/>
      <c r="T60" s="4"/>
      <c r="U60" s="4"/>
      <c r="V60" s="4"/>
      <c r="W60" s="4"/>
      <c r="X60" s="4"/>
      <c r="Y60" s="5">
        <f t="shared" si="8"/>
        <v>2784.82</v>
      </c>
    </row>
    <row r="61" spans="1:25" x14ac:dyDescent="0.3">
      <c r="A61" s="3" t="s">
        <v>79</v>
      </c>
      <c r="B61" s="6">
        <f t="shared" ref="B61:X61" si="13">(((B57)+(B58))+(B59))+(B60)</f>
        <v>0</v>
      </c>
      <c r="C61" s="6">
        <f t="shared" si="13"/>
        <v>0</v>
      </c>
      <c r="D61" s="6">
        <f t="shared" si="13"/>
        <v>1100</v>
      </c>
      <c r="E61" s="6">
        <f t="shared" si="13"/>
        <v>0</v>
      </c>
      <c r="F61" s="6">
        <f t="shared" si="13"/>
        <v>1100</v>
      </c>
      <c r="G61" s="6">
        <f t="shared" si="13"/>
        <v>2982.5</v>
      </c>
      <c r="H61" s="6">
        <f t="shared" si="13"/>
        <v>790</v>
      </c>
      <c r="I61" s="6">
        <f t="shared" si="13"/>
        <v>1000</v>
      </c>
      <c r="J61" s="6">
        <f t="shared" si="13"/>
        <v>0</v>
      </c>
      <c r="K61" s="6">
        <f t="shared" si="13"/>
        <v>0</v>
      </c>
      <c r="L61" s="6">
        <f t="shared" si="13"/>
        <v>1494.88</v>
      </c>
      <c r="M61" s="6">
        <f t="shared" si="13"/>
        <v>8350</v>
      </c>
      <c r="N61" s="6">
        <f t="shared" si="13"/>
        <v>1100</v>
      </c>
      <c r="O61" s="6">
        <f t="shared" si="13"/>
        <v>0</v>
      </c>
      <c r="P61" s="6">
        <f t="shared" si="13"/>
        <v>1191.32</v>
      </c>
      <c r="Q61" s="6">
        <f t="shared" si="13"/>
        <v>1290</v>
      </c>
      <c r="R61" s="6">
        <f t="shared" si="13"/>
        <v>0</v>
      </c>
      <c r="S61" s="6">
        <f t="shared" si="13"/>
        <v>790</v>
      </c>
      <c r="T61" s="6">
        <f t="shared" si="13"/>
        <v>0</v>
      </c>
      <c r="U61" s="6">
        <f t="shared" si="13"/>
        <v>0</v>
      </c>
      <c r="V61" s="6">
        <f t="shared" si="13"/>
        <v>0</v>
      </c>
      <c r="W61" s="6">
        <f t="shared" si="13"/>
        <v>0</v>
      </c>
      <c r="X61" s="6">
        <f t="shared" si="13"/>
        <v>790</v>
      </c>
      <c r="Y61" s="6">
        <f t="shared" si="8"/>
        <v>21978.7</v>
      </c>
    </row>
    <row r="62" spans="1:25" x14ac:dyDescent="0.3">
      <c r="A62" s="3" t="s">
        <v>80</v>
      </c>
      <c r="B62" s="6">
        <f t="shared" ref="B62:X62" si="14">(((B52)+(B53))+(B56))+(B61)</f>
        <v>0</v>
      </c>
      <c r="C62" s="6">
        <f t="shared" si="14"/>
        <v>0</v>
      </c>
      <c r="D62" s="6">
        <f t="shared" si="14"/>
        <v>1100</v>
      </c>
      <c r="E62" s="6">
        <f t="shared" si="14"/>
        <v>0</v>
      </c>
      <c r="F62" s="6">
        <f t="shared" si="14"/>
        <v>1100</v>
      </c>
      <c r="G62" s="6">
        <f t="shared" si="14"/>
        <v>2982.5</v>
      </c>
      <c r="H62" s="6">
        <f t="shared" si="14"/>
        <v>790</v>
      </c>
      <c r="I62" s="6">
        <f t="shared" si="14"/>
        <v>1000</v>
      </c>
      <c r="J62" s="6">
        <f t="shared" si="14"/>
        <v>0</v>
      </c>
      <c r="K62" s="6">
        <f t="shared" si="14"/>
        <v>0</v>
      </c>
      <c r="L62" s="6">
        <f t="shared" si="14"/>
        <v>1494.88</v>
      </c>
      <c r="M62" s="6">
        <f t="shared" si="14"/>
        <v>10878</v>
      </c>
      <c r="N62" s="6">
        <f t="shared" si="14"/>
        <v>1100</v>
      </c>
      <c r="O62" s="6">
        <f t="shared" si="14"/>
        <v>0</v>
      </c>
      <c r="P62" s="6">
        <f t="shared" si="14"/>
        <v>1191.32</v>
      </c>
      <c r="Q62" s="6">
        <f t="shared" si="14"/>
        <v>1290</v>
      </c>
      <c r="R62" s="6">
        <f t="shared" si="14"/>
        <v>0</v>
      </c>
      <c r="S62" s="6">
        <f t="shared" si="14"/>
        <v>790</v>
      </c>
      <c r="T62" s="6">
        <f t="shared" si="14"/>
        <v>0</v>
      </c>
      <c r="U62" s="6">
        <f t="shared" si="14"/>
        <v>0</v>
      </c>
      <c r="V62" s="6">
        <f t="shared" si="14"/>
        <v>0</v>
      </c>
      <c r="W62" s="6">
        <f t="shared" si="14"/>
        <v>0</v>
      </c>
      <c r="X62" s="6">
        <f t="shared" si="14"/>
        <v>790</v>
      </c>
      <c r="Y62" s="6">
        <f t="shared" si="8"/>
        <v>24506.7</v>
      </c>
    </row>
    <row r="63" spans="1:25" x14ac:dyDescent="0.3">
      <c r="A63" s="3" t="s">
        <v>81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5">
        <f t="shared" si="8"/>
        <v>0</v>
      </c>
    </row>
    <row r="64" spans="1:25" x14ac:dyDescent="0.3">
      <c r="A64" s="3" t="s">
        <v>82</v>
      </c>
      <c r="B64" s="5">
        <f>1687.5</f>
        <v>1687.5</v>
      </c>
      <c r="C64" s="4"/>
      <c r="D64" s="5">
        <f>0</f>
        <v>0</v>
      </c>
      <c r="E64" s="5">
        <f>3139.2</f>
        <v>3139.2</v>
      </c>
      <c r="F64" s="5">
        <f>925</f>
        <v>925</v>
      </c>
      <c r="G64" s="4"/>
      <c r="H64" s="4"/>
      <c r="I64" s="4"/>
      <c r="J64" s="4"/>
      <c r="K64" s="4"/>
      <c r="L64" s="5">
        <f>12891.77</f>
        <v>12891.77</v>
      </c>
      <c r="M64" s="4"/>
      <c r="N64" s="4"/>
      <c r="O64" s="4"/>
      <c r="P64" s="5">
        <f>808.5</f>
        <v>808.5</v>
      </c>
      <c r="Q64" s="4"/>
      <c r="R64" s="5">
        <f>212.42</f>
        <v>212.42</v>
      </c>
      <c r="S64" s="4"/>
      <c r="T64" s="4"/>
      <c r="U64" s="4"/>
      <c r="V64" s="4"/>
      <c r="W64" s="4"/>
      <c r="X64" s="5">
        <f>649</f>
        <v>649</v>
      </c>
      <c r="Y64" s="5">
        <f t="shared" si="8"/>
        <v>20313.39</v>
      </c>
    </row>
    <row r="65" spans="1:25" x14ac:dyDescent="0.3">
      <c r="A65" s="3" t="s">
        <v>83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5">
        <f>3172.18</f>
        <v>3172.18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5">
        <f t="shared" si="8"/>
        <v>3172.18</v>
      </c>
    </row>
    <row r="66" spans="1:25" x14ac:dyDescent="0.3">
      <c r="A66" s="3" t="s">
        <v>84</v>
      </c>
      <c r="B66" s="4"/>
      <c r="C66" s="4"/>
      <c r="D66" s="4"/>
      <c r="E66" s="4"/>
      <c r="F66" s="4"/>
      <c r="G66" s="4"/>
      <c r="H66" s="4"/>
      <c r="I66" s="5">
        <f>2000</f>
        <v>2000</v>
      </c>
      <c r="J66" s="4"/>
      <c r="K66" s="4"/>
      <c r="L66" s="5">
        <f>3298.3</f>
        <v>3298.3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5">
        <f t="shared" si="8"/>
        <v>5298.3</v>
      </c>
    </row>
    <row r="67" spans="1:25" x14ac:dyDescent="0.3">
      <c r="A67" s="3" t="s">
        <v>85</v>
      </c>
      <c r="B67" s="6">
        <f t="shared" ref="B67:X67" si="15">(((B63)+(B64))+(B65))+(B66)</f>
        <v>1687.5</v>
      </c>
      <c r="C67" s="6">
        <f t="shared" si="15"/>
        <v>0</v>
      </c>
      <c r="D67" s="6">
        <f t="shared" si="15"/>
        <v>0</v>
      </c>
      <c r="E67" s="6">
        <f t="shared" si="15"/>
        <v>3139.2</v>
      </c>
      <c r="F67" s="6">
        <f t="shared" si="15"/>
        <v>925</v>
      </c>
      <c r="G67" s="6">
        <f t="shared" si="15"/>
        <v>0</v>
      </c>
      <c r="H67" s="6">
        <f t="shared" si="15"/>
        <v>0</v>
      </c>
      <c r="I67" s="6">
        <f t="shared" si="15"/>
        <v>2000</v>
      </c>
      <c r="J67" s="6">
        <f t="shared" si="15"/>
        <v>0</v>
      </c>
      <c r="K67" s="6">
        <f t="shared" si="15"/>
        <v>0</v>
      </c>
      <c r="L67" s="6">
        <f t="shared" si="15"/>
        <v>16190.07</v>
      </c>
      <c r="M67" s="6">
        <f t="shared" si="15"/>
        <v>3172.18</v>
      </c>
      <c r="N67" s="6">
        <f t="shared" si="15"/>
        <v>0</v>
      </c>
      <c r="O67" s="6">
        <f t="shared" si="15"/>
        <v>0</v>
      </c>
      <c r="P67" s="6">
        <f t="shared" si="15"/>
        <v>808.5</v>
      </c>
      <c r="Q67" s="6">
        <f t="shared" si="15"/>
        <v>0</v>
      </c>
      <c r="R67" s="6">
        <f t="shared" si="15"/>
        <v>212.42</v>
      </c>
      <c r="S67" s="6">
        <f t="shared" si="15"/>
        <v>0</v>
      </c>
      <c r="T67" s="6">
        <f t="shared" si="15"/>
        <v>0</v>
      </c>
      <c r="U67" s="6">
        <f t="shared" si="15"/>
        <v>0</v>
      </c>
      <c r="V67" s="6">
        <f t="shared" si="15"/>
        <v>0</v>
      </c>
      <c r="W67" s="6">
        <f t="shared" si="15"/>
        <v>0</v>
      </c>
      <c r="X67" s="6">
        <f t="shared" si="15"/>
        <v>649</v>
      </c>
      <c r="Y67" s="6">
        <f t="shared" si="8"/>
        <v>28783.87</v>
      </c>
    </row>
    <row r="68" spans="1:25" x14ac:dyDescent="0.3">
      <c r="A68" s="3" t="s">
        <v>86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5">
        <f t="shared" si="8"/>
        <v>0</v>
      </c>
    </row>
    <row r="69" spans="1:25" x14ac:dyDescent="0.3">
      <c r="A69" s="3" t="s">
        <v>87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>
        <f>158.4</f>
        <v>158.4</v>
      </c>
      <c r="Q69" s="4"/>
      <c r="R69" s="4"/>
      <c r="S69" s="4"/>
      <c r="T69" s="4"/>
      <c r="U69" s="4"/>
      <c r="V69" s="4"/>
      <c r="W69" s="4"/>
      <c r="X69" s="4"/>
      <c r="Y69" s="5">
        <f t="shared" ref="Y69:Y88" si="16">((((((((((((((((((((((B69)+(C69))+(D69))+(E69))+(F69))+(G69))+(H69))+(I69))+(J69))+(K69))+(L69))+(M69))+(N69))+(O69))+(P69))+(Q69))+(R69))+(S69))+(T69))+(U69))+(V69))+(W69))+(X69)</f>
        <v>158.4</v>
      </c>
    </row>
    <row r="70" spans="1:25" x14ac:dyDescent="0.3">
      <c r="A70" s="3" t="s">
        <v>88</v>
      </c>
      <c r="B70" s="4"/>
      <c r="C70" s="5">
        <f>-67.15</f>
        <v>-67.150000000000006</v>
      </c>
      <c r="D70" s="4"/>
      <c r="E70" s="4"/>
      <c r="F70" s="4"/>
      <c r="G70" s="4"/>
      <c r="H70" s="4"/>
      <c r="I70" s="4"/>
      <c r="J70" s="4"/>
      <c r="K70" s="4"/>
      <c r="L70" s="5">
        <f>97.46</f>
        <v>97.46</v>
      </c>
      <c r="M70" s="5">
        <f>703.04</f>
        <v>703.04</v>
      </c>
      <c r="N70" s="4"/>
      <c r="O70" s="4"/>
      <c r="P70" s="5">
        <f>132.46</f>
        <v>132.46</v>
      </c>
      <c r="Q70" s="4"/>
      <c r="R70" s="4"/>
      <c r="S70" s="4"/>
      <c r="T70" s="4"/>
      <c r="U70" s="4"/>
      <c r="V70" s="4"/>
      <c r="W70" s="4"/>
      <c r="X70" s="4"/>
      <c r="Y70" s="5">
        <f t="shared" si="16"/>
        <v>865.81</v>
      </c>
    </row>
    <row r="71" spans="1:25" x14ac:dyDescent="0.3">
      <c r="A71" s="3" t="s">
        <v>89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5">
        <f>3165</f>
        <v>3165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5">
        <f t="shared" si="16"/>
        <v>3165</v>
      </c>
    </row>
    <row r="72" spans="1:25" x14ac:dyDescent="0.3">
      <c r="A72" s="3" t="s">
        <v>90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5">
        <f>3669.9</f>
        <v>3669.9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5">
        <f t="shared" si="16"/>
        <v>3669.9</v>
      </c>
    </row>
    <row r="73" spans="1:25" x14ac:dyDescent="0.3">
      <c r="A73" s="3" t="s">
        <v>91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5">
        <f>49.49</f>
        <v>49.49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5">
        <f t="shared" si="16"/>
        <v>49.49</v>
      </c>
    </row>
    <row r="74" spans="1:25" x14ac:dyDescent="0.3">
      <c r="A74" s="3" t="s">
        <v>92</v>
      </c>
      <c r="B74" s="5">
        <f>171.13</f>
        <v>171.13</v>
      </c>
      <c r="C74" s="4"/>
      <c r="D74" s="5">
        <f>3008</f>
        <v>3008</v>
      </c>
      <c r="E74" s="5">
        <f>787.5</f>
        <v>787.5</v>
      </c>
      <c r="F74" s="5">
        <f>7231.9</f>
        <v>7231.9</v>
      </c>
      <c r="G74" s="5">
        <f>1378.25</f>
        <v>1378.25</v>
      </c>
      <c r="H74" s="4"/>
      <c r="I74" s="5">
        <f>799.29</f>
        <v>799.29</v>
      </c>
      <c r="J74" s="5">
        <f>13253.41</f>
        <v>13253.41</v>
      </c>
      <c r="K74" s="4"/>
      <c r="L74" s="5">
        <f>50760.96</f>
        <v>50760.959999999999</v>
      </c>
      <c r="M74" s="4"/>
      <c r="N74" s="5">
        <f>2261.07</f>
        <v>2261.0700000000002</v>
      </c>
      <c r="O74" s="4"/>
      <c r="P74" s="5">
        <f>570</f>
        <v>570</v>
      </c>
      <c r="Q74" s="4"/>
      <c r="R74" s="5">
        <f>-70</f>
        <v>-70</v>
      </c>
      <c r="S74" s="4"/>
      <c r="T74" s="4"/>
      <c r="U74" s="4"/>
      <c r="V74" s="4"/>
      <c r="W74" s="4"/>
      <c r="X74" s="4"/>
      <c r="Y74" s="5">
        <f t="shared" si="16"/>
        <v>80151.510000000009</v>
      </c>
    </row>
    <row r="75" spans="1:25" x14ac:dyDescent="0.3">
      <c r="A75" s="3" t="s">
        <v>93</v>
      </c>
      <c r="B75" s="4"/>
      <c r="C75" s="4"/>
      <c r="D75" s="4"/>
      <c r="E75" s="5">
        <f>-28</f>
        <v>-28</v>
      </c>
      <c r="F75" s="4"/>
      <c r="G75" s="4"/>
      <c r="H75" s="4"/>
      <c r="I75" s="4"/>
      <c r="J75" s="4"/>
      <c r="K75" s="4"/>
      <c r="L75" s="5">
        <f>4168</f>
        <v>4168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5">
        <f t="shared" si="16"/>
        <v>4140</v>
      </c>
    </row>
    <row r="76" spans="1:25" x14ac:dyDescent="0.3">
      <c r="A76" s="3" t="s">
        <v>94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>
        <f>-240</f>
        <v>-240</v>
      </c>
      <c r="Q76" s="4"/>
      <c r="R76" s="4"/>
      <c r="S76" s="4"/>
      <c r="T76" s="4"/>
      <c r="U76" s="4"/>
      <c r="V76" s="5">
        <f>1281</f>
        <v>1281</v>
      </c>
      <c r="W76" s="4"/>
      <c r="X76" s="4"/>
      <c r="Y76" s="5">
        <f t="shared" si="16"/>
        <v>1041</v>
      </c>
    </row>
    <row r="77" spans="1:25" x14ac:dyDescent="0.3">
      <c r="A77" s="3" t="s">
        <v>95</v>
      </c>
      <c r="B77" s="6">
        <f t="shared" ref="B77:X77" si="17">((((((((B68)+(B69))+(B70))+(B71))+(B72))+(B73))+(B74))+(B75))+(B76)</f>
        <v>171.13</v>
      </c>
      <c r="C77" s="6">
        <f t="shared" si="17"/>
        <v>-67.150000000000006</v>
      </c>
      <c r="D77" s="6">
        <f t="shared" si="17"/>
        <v>3008</v>
      </c>
      <c r="E77" s="6">
        <f t="shared" si="17"/>
        <v>759.5</v>
      </c>
      <c r="F77" s="6">
        <f t="shared" si="17"/>
        <v>7231.9</v>
      </c>
      <c r="G77" s="6">
        <f t="shared" si="17"/>
        <v>1378.25</v>
      </c>
      <c r="H77" s="6">
        <f t="shared" si="17"/>
        <v>0</v>
      </c>
      <c r="I77" s="6">
        <f t="shared" si="17"/>
        <v>799.29</v>
      </c>
      <c r="J77" s="6">
        <f t="shared" si="17"/>
        <v>13253.41</v>
      </c>
      <c r="K77" s="6">
        <f t="shared" si="17"/>
        <v>0</v>
      </c>
      <c r="L77" s="6">
        <f t="shared" si="17"/>
        <v>61861.32</v>
      </c>
      <c r="M77" s="6">
        <f t="shared" si="17"/>
        <v>752.53</v>
      </c>
      <c r="N77" s="6">
        <f t="shared" si="17"/>
        <v>2261.0700000000002</v>
      </c>
      <c r="O77" s="6">
        <f t="shared" si="17"/>
        <v>0</v>
      </c>
      <c r="P77" s="6">
        <f t="shared" si="17"/>
        <v>620.86</v>
      </c>
      <c r="Q77" s="6">
        <f t="shared" si="17"/>
        <v>0</v>
      </c>
      <c r="R77" s="6">
        <f t="shared" si="17"/>
        <v>-70</v>
      </c>
      <c r="S77" s="6">
        <f t="shared" si="17"/>
        <v>0</v>
      </c>
      <c r="T77" s="6">
        <f t="shared" si="17"/>
        <v>0</v>
      </c>
      <c r="U77" s="6">
        <f t="shared" si="17"/>
        <v>0</v>
      </c>
      <c r="V77" s="6">
        <f t="shared" si="17"/>
        <v>1281</v>
      </c>
      <c r="W77" s="6">
        <f t="shared" si="17"/>
        <v>0</v>
      </c>
      <c r="X77" s="6">
        <f t="shared" si="17"/>
        <v>0</v>
      </c>
      <c r="Y77" s="6">
        <f t="shared" si="16"/>
        <v>93241.11</v>
      </c>
    </row>
    <row r="78" spans="1:25" x14ac:dyDescent="0.3">
      <c r="A78" s="3" t="s">
        <v>96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5">
        <f t="shared" si="16"/>
        <v>0</v>
      </c>
    </row>
    <row r="79" spans="1:25" x14ac:dyDescent="0.3">
      <c r="A79" s="3" t="s">
        <v>97</v>
      </c>
      <c r="B79" s="4"/>
      <c r="C79" s="4"/>
      <c r="D79" s="4"/>
      <c r="E79" s="4"/>
      <c r="F79" s="5">
        <f>30</f>
        <v>30</v>
      </c>
      <c r="G79" s="4"/>
      <c r="H79" s="4"/>
      <c r="I79" s="4"/>
      <c r="J79" s="4"/>
      <c r="K79" s="4"/>
      <c r="L79" s="4"/>
      <c r="M79" s="5">
        <f>12</f>
        <v>12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5">
        <f t="shared" si="16"/>
        <v>42</v>
      </c>
    </row>
    <row r="80" spans="1:25" x14ac:dyDescent="0.3">
      <c r="A80" s="3" t="s">
        <v>98</v>
      </c>
      <c r="B80" s="4"/>
      <c r="C80" s="4"/>
      <c r="D80" s="4"/>
      <c r="E80" s="4"/>
      <c r="F80" s="5">
        <f>40</f>
        <v>40</v>
      </c>
      <c r="G80" s="5">
        <f>934</f>
        <v>934</v>
      </c>
      <c r="H80" s="4"/>
      <c r="I80" s="4"/>
      <c r="J80" s="4"/>
      <c r="K80" s="4"/>
      <c r="L80" s="5">
        <f>6053</f>
        <v>6053</v>
      </c>
      <c r="M80" s="5">
        <f>150</f>
        <v>150</v>
      </c>
      <c r="N80" s="4"/>
      <c r="O80" s="4"/>
      <c r="P80" s="4"/>
      <c r="Q80" s="4"/>
      <c r="R80" s="4"/>
      <c r="S80" s="4"/>
      <c r="T80" s="4"/>
      <c r="U80" s="5">
        <f>500</f>
        <v>500</v>
      </c>
      <c r="V80" s="4"/>
      <c r="W80" s="4"/>
      <c r="X80" s="4"/>
      <c r="Y80" s="5">
        <f t="shared" si="16"/>
        <v>7677</v>
      </c>
    </row>
    <row r="81" spans="1:25" x14ac:dyDescent="0.3">
      <c r="A81" s="3" t="s">
        <v>99</v>
      </c>
      <c r="B81" s="6">
        <f t="shared" ref="B81:X81" si="18">((B78)+(B79))+(B80)</f>
        <v>0</v>
      </c>
      <c r="C81" s="6">
        <f t="shared" si="18"/>
        <v>0</v>
      </c>
      <c r="D81" s="6">
        <f t="shared" si="18"/>
        <v>0</v>
      </c>
      <c r="E81" s="6">
        <f t="shared" si="18"/>
        <v>0</v>
      </c>
      <c r="F81" s="6">
        <f t="shared" si="18"/>
        <v>70</v>
      </c>
      <c r="G81" s="6">
        <f t="shared" si="18"/>
        <v>934</v>
      </c>
      <c r="H81" s="6">
        <f t="shared" si="18"/>
        <v>0</v>
      </c>
      <c r="I81" s="6">
        <f t="shared" si="18"/>
        <v>0</v>
      </c>
      <c r="J81" s="6">
        <f t="shared" si="18"/>
        <v>0</v>
      </c>
      <c r="K81" s="6">
        <f t="shared" si="18"/>
        <v>0</v>
      </c>
      <c r="L81" s="6">
        <f t="shared" si="18"/>
        <v>6053</v>
      </c>
      <c r="M81" s="6">
        <f t="shared" si="18"/>
        <v>162</v>
      </c>
      <c r="N81" s="6">
        <f t="shared" si="18"/>
        <v>0</v>
      </c>
      <c r="O81" s="6">
        <f t="shared" si="18"/>
        <v>0</v>
      </c>
      <c r="P81" s="6">
        <f t="shared" si="18"/>
        <v>0</v>
      </c>
      <c r="Q81" s="6">
        <f t="shared" si="18"/>
        <v>0</v>
      </c>
      <c r="R81" s="6">
        <f t="shared" si="18"/>
        <v>0</v>
      </c>
      <c r="S81" s="6">
        <f t="shared" si="18"/>
        <v>0</v>
      </c>
      <c r="T81" s="6">
        <f t="shared" si="18"/>
        <v>0</v>
      </c>
      <c r="U81" s="6">
        <f t="shared" si="18"/>
        <v>500</v>
      </c>
      <c r="V81" s="6">
        <f t="shared" si="18"/>
        <v>0</v>
      </c>
      <c r="W81" s="6">
        <f t="shared" si="18"/>
        <v>0</v>
      </c>
      <c r="X81" s="6">
        <f t="shared" si="18"/>
        <v>0</v>
      </c>
      <c r="Y81" s="6">
        <f t="shared" si="16"/>
        <v>7719</v>
      </c>
    </row>
    <row r="82" spans="1:25" x14ac:dyDescent="0.3">
      <c r="A82" s="3" t="s">
        <v>100</v>
      </c>
      <c r="B82" s="4"/>
      <c r="C82" s="4"/>
      <c r="D82" s="4"/>
      <c r="E82" s="4"/>
      <c r="F82" s="4"/>
      <c r="G82" s="4"/>
      <c r="H82" s="4"/>
      <c r="I82" s="5">
        <f>159</f>
        <v>159</v>
      </c>
      <c r="J82" s="4"/>
      <c r="K82" s="4"/>
      <c r="L82" s="5">
        <f>1060</f>
        <v>1060</v>
      </c>
      <c r="M82" s="4"/>
      <c r="N82" s="4"/>
      <c r="O82" s="5">
        <f>356.62</f>
        <v>356.62</v>
      </c>
      <c r="P82" s="4"/>
      <c r="Q82" s="5">
        <f>1247.91</f>
        <v>1247.9100000000001</v>
      </c>
      <c r="R82" s="4"/>
      <c r="S82" s="5">
        <f>1049.15</f>
        <v>1049.1500000000001</v>
      </c>
      <c r="T82" s="4"/>
      <c r="U82" s="4"/>
      <c r="V82" s="4"/>
      <c r="W82" s="4"/>
      <c r="X82" s="4"/>
      <c r="Y82" s="5">
        <f t="shared" si="16"/>
        <v>3872.68</v>
      </c>
    </row>
    <row r="83" spans="1:25" x14ac:dyDescent="0.3">
      <c r="A83" s="3" t="s">
        <v>101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5">
        <f t="shared" si="16"/>
        <v>0</v>
      </c>
    </row>
    <row r="84" spans="1:25" x14ac:dyDescent="0.3">
      <c r="A84" s="3" t="s">
        <v>102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5">
        <f>1500</f>
        <v>1500</v>
      </c>
      <c r="W84" s="4"/>
      <c r="X84" s="4"/>
      <c r="Y84" s="5">
        <f t="shared" si="16"/>
        <v>1500</v>
      </c>
    </row>
    <row r="85" spans="1:25" x14ac:dyDescent="0.3">
      <c r="A85" s="3" t="s">
        <v>103</v>
      </c>
      <c r="B85" s="6">
        <f t="shared" ref="B85:X85" si="19">(B83)+(B84)</f>
        <v>0</v>
      </c>
      <c r="C85" s="6">
        <f t="shared" si="19"/>
        <v>0</v>
      </c>
      <c r="D85" s="6">
        <f t="shared" si="19"/>
        <v>0</v>
      </c>
      <c r="E85" s="6">
        <f t="shared" si="19"/>
        <v>0</v>
      </c>
      <c r="F85" s="6">
        <f t="shared" si="19"/>
        <v>0</v>
      </c>
      <c r="G85" s="6">
        <f t="shared" si="19"/>
        <v>0</v>
      </c>
      <c r="H85" s="6">
        <f t="shared" si="19"/>
        <v>0</v>
      </c>
      <c r="I85" s="6">
        <f t="shared" si="19"/>
        <v>0</v>
      </c>
      <c r="J85" s="6">
        <f t="shared" si="19"/>
        <v>0</v>
      </c>
      <c r="K85" s="6">
        <f t="shared" si="19"/>
        <v>0</v>
      </c>
      <c r="L85" s="6">
        <f t="shared" si="19"/>
        <v>0</v>
      </c>
      <c r="M85" s="6">
        <f t="shared" si="19"/>
        <v>0</v>
      </c>
      <c r="N85" s="6">
        <f t="shared" si="19"/>
        <v>0</v>
      </c>
      <c r="O85" s="6">
        <f t="shared" si="19"/>
        <v>0</v>
      </c>
      <c r="P85" s="6">
        <f t="shared" si="19"/>
        <v>0</v>
      </c>
      <c r="Q85" s="6">
        <f t="shared" si="19"/>
        <v>0</v>
      </c>
      <c r="R85" s="6">
        <f t="shared" si="19"/>
        <v>0</v>
      </c>
      <c r="S85" s="6">
        <f t="shared" si="19"/>
        <v>0</v>
      </c>
      <c r="T85" s="6">
        <f t="shared" si="19"/>
        <v>0</v>
      </c>
      <c r="U85" s="6">
        <f t="shared" si="19"/>
        <v>0</v>
      </c>
      <c r="V85" s="6">
        <f t="shared" si="19"/>
        <v>1500</v>
      </c>
      <c r="W85" s="6">
        <f t="shared" si="19"/>
        <v>0</v>
      </c>
      <c r="X85" s="6">
        <f t="shared" si="19"/>
        <v>0</v>
      </c>
      <c r="Y85" s="6">
        <f t="shared" si="16"/>
        <v>1500</v>
      </c>
    </row>
    <row r="86" spans="1:25" x14ac:dyDescent="0.3">
      <c r="A86" s="3" t="s">
        <v>104</v>
      </c>
      <c r="B86" s="6">
        <f t="shared" ref="B86:X86" si="20">(((((((((B40)+(B45))+(B46))+(B51))+(B62))+(B67))+(B77))+(B81))+(B82))+(B85)</f>
        <v>2479.4700000000003</v>
      </c>
      <c r="C86" s="6">
        <f t="shared" si="20"/>
        <v>-67.150000000000006</v>
      </c>
      <c r="D86" s="6">
        <f t="shared" si="20"/>
        <v>4108</v>
      </c>
      <c r="E86" s="6">
        <f t="shared" si="20"/>
        <v>3898.7</v>
      </c>
      <c r="F86" s="6">
        <f t="shared" si="20"/>
        <v>9326.9</v>
      </c>
      <c r="G86" s="6">
        <f t="shared" si="20"/>
        <v>5294.75</v>
      </c>
      <c r="H86" s="6">
        <f t="shared" si="20"/>
        <v>790</v>
      </c>
      <c r="I86" s="6">
        <f t="shared" si="20"/>
        <v>3958.29</v>
      </c>
      <c r="J86" s="6">
        <f t="shared" si="20"/>
        <v>13253.41</v>
      </c>
      <c r="K86" s="6">
        <f t="shared" si="20"/>
        <v>729.91</v>
      </c>
      <c r="L86" s="6">
        <f t="shared" si="20"/>
        <v>103815.89</v>
      </c>
      <c r="M86" s="6">
        <f t="shared" si="20"/>
        <v>29245.61</v>
      </c>
      <c r="N86" s="6">
        <f t="shared" si="20"/>
        <v>3361.07</v>
      </c>
      <c r="O86" s="6">
        <f t="shared" si="20"/>
        <v>356.62</v>
      </c>
      <c r="P86" s="6">
        <f t="shared" si="20"/>
        <v>7339.079999999999</v>
      </c>
      <c r="Q86" s="6">
        <f t="shared" si="20"/>
        <v>3742.91</v>
      </c>
      <c r="R86" s="6">
        <f t="shared" si="20"/>
        <v>142.41999999999999</v>
      </c>
      <c r="S86" s="6">
        <f t="shared" si="20"/>
        <v>2139.15</v>
      </c>
      <c r="T86" s="6">
        <f t="shared" si="20"/>
        <v>1134</v>
      </c>
      <c r="U86" s="6">
        <f t="shared" si="20"/>
        <v>6892.92</v>
      </c>
      <c r="V86" s="6">
        <f t="shared" si="20"/>
        <v>2781</v>
      </c>
      <c r="W86" s="6">
        <f t="shared" si="20"/>
        <v>0</v>
      </c>
      <c r="X86" s="6">
        <f t="shared" si="20"/>
        <v>1439</v>
      </c>
      <c r="Y86" s="6">
        <f t="shared" si="16"/>
        <v>206161.94999999998</v>
      </c>
    </row>
    <row r="87" spans="1:25" x14ac:dyDescent="0.3">
      <c r="A87" s="3" t="s">
        <v>105</v>
      </c>
      <c r="B87" s="6">
        <f t="shared" ref="B87:X87" si="21">(B35)-(B86)</f>
        <v>-1551.4700000000003</v>
      </c>
      <c r="C87" s="6">
        <f t="shared" si="21"/>
        <v>67.150000000000006</v>
      </c>
      <c r="D87" s="6">
        <f t="shared" si="21"/>
        <v>-4011.2</v>
      </c>
      <c r="E87" s="6">
        <f t="shared" si="21"/>
        <v>-3898.7</v>
      </c>
      <c r="F87" s="6">
        <f t="shared" si="21"/>
        <v>4899.3999999999996</v>
      </c>
      <c r="G87" s="6">
        <f t="shared" si="21"/>
        <v>12555.3</v>
      </c>
      <c r="H87" s="6">
        <f t="shared" si="21"/>
        <v>-790</v>
      </c>
      <c r="I87" s="6">
        <f t="shared" si="21"/>
        <v>-578.29</v>
      </c>
      <c r="J87" s="6">
        <f t="shared" si="21"/>
        <v>-13253.41</v>
      </c>
      <c r="K87" s="6">
        <f t="shared" si="21"/>
        <v>-569.91</v>
      </c>
      <c r="L87" s="6">
        <f t="shared" si="21"/>
        <v>-21750.28</v>
      </c>
      <c r="M87" s="6">
        <f t="shared" si="21"/>
        <v>-4806.7000000000007</v>
      </c>
      <c r="N87" s="6">
        <f t="shared" si="21"/>
        <v>-3167.17</v>
      </c>
      <c r="O87" s="6">
        <f t="shared" si="21"/>
        <v>-356.62</v>
      </c>
      <c r="P87" s="6">
        <f t="shared" si="21"/>
        <v>-7339.079999999999</v>
      </c>
      <c r="Q87" s="6">
        <f t="shared" si="21"/>
        <v>15411.010000000002</v>
      </c>
      <c r="R87" s="6">
        <f t="shared" si="21"/>
        <v>-142.41999999999999</v>
      </c>
      <c r="S87" s="6">
        <f t="shared" si="21"/>
        <v>-439.15000000000009</v>
      </c>
      <c r="T87" s="6">
        <f t="shared" si="21"/>
        <v>-459</v>
      </c>
      <c r="U87" s="6">
        <f t="shared" si="21"/>
        <v>36376.17</v>
      </c>
      <c r="V87" s="6">
        <f t="shared" si="21"/>
        <v>-2671.25</v>
      </c>
      <c r="W87" s="6">
        <f t="shared" si="21"/>
        <v>1670</v>
      </c>
      <c r="X87" s="6">
        <f t="shared" si="21"/>
        <v>-1390.75</v>
      </c>
      <c r="Y87" s="6">
        <f t="shared" si="16"/>
        <v>3803.6299999999974</v>
      </c>
    </row>
    <row r="88" spans="1:25" x14ac:dyDescent="0.3">
      <c r="A88" s="3" t="s">
        <v>106</v>
      </c>
      <c r="B88" s="7">
        <f t="shared" ref="B88:X88" si="22">(B87)+(0)</f>
        <v>-1551.4700000000003</v>
      </c>
      <c r="C88" s="7">
        <f t="shared" si="22"/>
        <v>67.150000000000006</v>
      </c>
      <c r="D88" s="7">
        <f t="shared" si="22"/>
        <v>-4011.2</v>
      </c>
      <c r="E88" s="7">
        <f t="shared" si="22"/>
        <v>-3898.7</v>
      </c>
      <c r="F88" s="7">
        <f t="shared" si="22"/>
        <v>4899.3999999999996</v>
      </c>
      <c r="G88" s="7">
        <f t="shared" si="22"/>
        <v>12555.3</v>
      </c>
      <c r="H88" s="7">
        <f t="shared" si="22"/>
        <v>-790</v>
      </c>
      <c r="I88" s="7">
        <f t="shared" si="22"/>
        <v>-578.29</v>
      </c>
      <c r="J88" s="7">
        <f t="shared" si="22"/>
        <v>-13253.41</v>
      </c>
      <c r="K88" s="7">
        <f t="shared" si="22"/>
        <v>-569.91</v>
      </c>
      <c r="L88" s="7">
        <f t="shared" si="22"/>
        <v>-21750.28</v>
      </c>
      <c r="M88" s="7">
        <f t="shared" si="22"/>
        <v>-4806.7000000000007</v>
      </c>
      <c r="N88" s="7">
        <f t="shared" si="22"/>
        <v>-3167.17</v>
      </c>
      <c r="O88" s="7">
        <f t="shared" si="22"/>
        <v>-356.62</v>
      </c>
      <c r="P88" s="7">
        <f t="shared" si="22"/>
        <v>-7339.079999999999</v>
      </c>
      <c r="Q88" s="7">
        <f t="shared" si="22"/>
        <v>15411.010000000002</v>
      </c>
      <c r="R88" s="7">
        <f t="shared" si="22"/>
        <v>-142.41999999999999</v>
      </c>
      <c r="S88" s="7">
        <f t="shared" si="22"/>
        <v>-439.15000000000009</v>
      </c>
      <c r="T88" s="7">
        <f t="shared" si="22"/>
        <v>-459</v>
      </c>
      <c r="U88" s="7">
        <f t="shared" si="22"/>
        <v>36376.17</v>
      </c>
      <c r="V88" s="7">
        <f t="shared" si="22"/>
        <v>-2671.25</v>
      </c>
      <c r="W88" s="7">
        <f t="shared" si="22"/>
        <v>1670</v>
      </c>
      <c r="X88" s="7">
        <f t="shared" si="22"/>
        <v>-1390.75</v>
      </c>
      <c r="Y88" s="7">
        <f t="shared" si="16"/>
        <v>3803.6299999999974</v>
      </c>
    </row>
    <row r="89" spans="1:25" x14ac:dyDescent="0.3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</sheetData>
  <mergeCells count="3">
    <mergeCell ref="A1:Y1"/>
    <mergeCell ref="A2:Y2"/>
    <mergeCell ref="A3:Y3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Profit and Loss by Class</vt:lpstr>
      <vt:lpstr>'Profit and Loss by Class'!Print_Titles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nlheureux23@gmail.com</cp:lastModifiedBy>
  <cp:lastPrinted>2024-01-08T05:39:32Z</cp:lastPrinted>
  <dcterms:created xsi:type="dcterms:W3CDTF">2024-01-08T05:37:56Z</dcterms:created>
  <dcterms:modified xsi:type="dcterms:W3CDTF">2024-01-08T05:39:54Z</dcterms:modified>
</cp:coreProperties>
</file>