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amapo Boosters\"/>
    </mc:Choice>
  </mc:AlternateContent>
  <xr:revisionPtr revIDLastSave="0" documentId="8_{D3250077-8F0E-446D-8E45-A890FF086E1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fit and Loss by Class" sheetId="1" r:id="rId1"/>
  </sheets>
  <definedNames>
    <definedName name="_xlnm.Print_Area" localSheetId="0">'Profit and Loss by Class'!$A$1:$O$66</definedName>
    <definedName name="_xlnm.Print_Titles" localSheetId="0">'Profit and Loss by Class'!$5:$5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3" i="1" l="1"/>
  <c r="K63" i="1"/>
  <c r="G63" i="1"/>
  <c r="O63" i="1" s="1"/>
  <c r="N62" i="1"/>
  <c r="M62" i="1"/>
  <c r="L62" i="1"/>
  <c r="I62" i="1"/>
  <c r="H62" i="1"/>
  <c r="G62" i="1"/>
  <c r="E62" i="1"/>
  <c r="D62" i="1"/>
  <c r="C62" i="1"/>
  <c r="B62" i="1"/>
  <c r="K61" i="1"/>
  <c r="K62" i="1" s="1"/>
  <c r="J61" i="1"/>
  <c r="J62" i="1" s="1"/>
  <c r="F61" i="1"/>
  <c r="O61" i="1" s="1"/>
  <c r="O60" i="1"/>
  <c r="L59" i="1"/>
  <c r="K59" i="1"/>
  <c r="J59" i="1"/>
  <c r="I59" i="1"/>
  <c r="G59" i="1"/>
  <c r="C59" i="1"/>
  <c r="O58" i="1"/>
  <c r="B58" i="1"/>
  <c r="O57" i="1"/>
  <c r="M57" i="1"/>
  <c r="M59" i="1" s="1"/>
  <c r="K57" i="1"/>
  <c r="G57" i="1"/>
  <c r="B57" i="1"/>
  <c r="B59" i="1" s="1"/>
  <c r="N56" i="1"/>
  <c r="N59" i="1" s="1"/>
  <c r="H55" i="1"/>
  <c r="H59" i="1" s="1"/>
  <c r="F55" i="1"/>
  <c r="F59" i="1" s="1"/>
  <c r="E55" i="1"/>
  <c r="E59" i="1" s="1"/>
  <c r="D55" i="1"/>
  <c r="O55" i="1" s="1"/>
  <c r="O54" i="1"/>
  <c r="N53" i="1"/>
  <c r="M53" i="1"/>
  <c r="L53" i="1"/>
  <c r="K53" i="1"/>
  <c r="J53" i="1"/>
  <c r="I53" i="1"/>
  <c r="H53" i="1"/>
  <c r="F53" i="1"/>
  <c r="E53" i="1"/>
  <c r="D53" i="1"/>
  <c r="C53" i="1"/>
  <c r="B53" i="1"/>
  <c r="O53" i="1" s="1"/>
  <c r="N52" i="1"/>
  <c r="O52" i="1" s="1"/>
  <c r="G51" i="1"/>
  <c r="G53" i="1" s="1"/>
  <c r="D51" i="1"/>
  <c r="O51" i="1" s="1"/>
  <c r="O50" i="1"/>
  <c r="L49" i="1"/>
  <c r="L64" i="1" s="1"/>
  <c r="J49" i="1"/>
  <c r="D49" i="1"/>
  <c r="N48" i="1"/>
  <c r="M48" i="1"/>
  <c r="L48" i="1"/>
  <c r="K48" i="1"/>
  <c r="J48" i="1"/>
  <c r="I48" i="1"/>
  <c r="H48" i="1"/>
  <c r="F48" i="1"/>
  <c r="E48" i="1"/>
  <c r="D48" i="1"/>
  <c r="C48" i="1"/>
  <c r="B47" i="1"/>
  <c r="B48" i="1" s="1"/>
  <c r="G46" i="1"/>
  <c r="G48" i="1" s="1"/>
  <c r="O45" i="1"/>
  <c r="N44" i="1"/>
  <c r="N49" i="1" s="1"/>
  <c r="M44" i="1"/>
  <c r="M49" i="1" s="1"/>
  <c r="L44" i="1"/>
  <c r="K44" i="1"/>
  <c r="K49" i="1" s="1"/>
  <c r="J44" i="1"/>
  <c r="I44" i="1"/>
  <c r="I49" i="1" s="1"/>
  <c r="G44" i="1"/>
  <c r="G49" i="1" s="1"/>
  <c r="F44" i="1"/>
  <c r="F49" i="1" s="1"/>
  <c r="E44" i="1"/>
  <c r="E49" i="1" s="1"/>
  <c r="D44" i="1"/>
  <c r="C44" i="1"/>
  <c r="C49" i="1" s="1"/>
  <c r="B44" i="1"/>
  <c r="O44" i="1" s="1"/>
  <c r="O43" i="1"/>
  <c r="H43" i="1"/>
  <c r="H44" i="1" s="1"/>
  <c r="H49" i="1" s="1"/>
  <c r="O42" i="1"/>
  <c r="H41" i="1"/>
  <c r="O41" i="1" s="1"/>
  <c r="O40" i="1"/>
  <c r="M39" i="1"/>
  <c r="L39" i="1"/>
  <c r="K39" i="1"/>
  <c r="I39" i="1"/>
  <c r="H39" i="1"/>
  <c r="G39" i="1"/>
  <c r="E39" i="1"/>
  <c r="D39" i="1"/>
  <c r="C39" i="1"/>
  <c r="B39" i="1"/>
  <c r="N38" i="1"/>
  <c r="F38" i="1"/>
  <c r="O38" i="1" s="1"/>
  <c r="N37" i="1"/>
  <c r="N39" i="1" s="1"/>
  <c r="J37" i="1"/>
  <c r="J39" i="1" s="1"/>
  <c r="G37" i="1"/>
  <c r="F37" i="1"/>
  <c r="F39" i="1" s="1"/>
  <c r="O39" i="1" s="1"/>
  <c r="E37" i="1"/>
  <c r="O37" i="1" s="1"/>
  <c r="O36" i="1"/>
  <c r="M35" i="1"/>
  <c r="L35" i="1"/>
  <c r="K35" i="1"/>
  <c r="J35" i="1"/>
  <c r="I35" i="1"/>
  <c r="H35" i="1"/>
  <c r="G35" i="1"/>
  <c r="F35" i="1"/>
  <c r="E35" i="1"/>
  <c r="D35" i="1"/>
  <c r="C35" i="1"/>
  <c r="B35" i="1"/>
  <c r="O34" i="1"/>
  <c r="N34" i="1"/>
  <c r="N35" i="1" s="1"/>
  <c r="O35" i="1" s="1"/>
  <c r="O33" i="1"/>
  <c r="N32" i="1"/>
  <c r="N64" i="1" s="1"/>
  <c r="M32" i="1"/>
  <c r="M64" i="1" s="1"/>
  <c r="L32" i="1"/>
  <c r="K32" i="1"/>
  <c r="J32" i="1"/>
  <c r="I32" i="1"/>
  <c r="I64" i="1" s="1"/>
  <c r="G32" i="1"/>
  <c r="G64" i="1" s="1"/>
  <c r="F32" i="1"/>
  <c r="E32" i="1"/>
  <c r="E64" i="1" s="1"/>
  <c r="D32" i="1"/>
  <c r="C32" i="1"/>
  <c r="B32" i="1"/>
  <c r="H31" i="1"/>
  <c r="O31" i="1" s="1"/>
  <c r="H30" i="1"/>
  <c r="O30" i="1" s="1"/>
  <c r="O29" i="1"/>
  <c r="H29" i="1"/>
  <c r="J26" i="1"/>
  <c r="J27" i="1" s="1"/>
  <c r="N25" i="1"/>
  <c r="M25" i="1"/>
  <c r="L25" i="1"/>
  <c r="K25" i="1"/>
  <c r="J25" i="1"/>
  <c r="I25" i="1"/>
  <c r="H25" i="1"/>
  <c r="F25" i="1"/>
  <c r="E25" i="1"/>
  <c r="C25" i="1"/>
  <c r="B25" i="1"/>
  <c r="D24" i="1"/>
  <c r="B24" i="1"/>
  <c r="O24" i="1" s="1"/>
  <c r="O23" i="1"/>
  <c r="D23" i="1"/>
  <c r="D25" i="1" s="1"/>
  <c r="D26" i="1" s="1"/>
  <c r="D27" i="1" s="1"/>
  <c r="N22" i="1"/>
  <c r="F22" i="1"/>
  <c r="O22" i="1" s="1"/>
  <c r="G21" i="1"/>
  <c r="G25" i="1" s="1"/>
  <c r="O20" i="1"/>
  <c r="N19" i="1"/>
  <c r="M19" i="1"/>
  <c r="K19" i="1"/>
  <c r="J19" i="1"/>
  <c r="I19" i="1"/>
  <c r="H19" i="1"/>
  <c r="G19" i="1"/>
  <c r="F19" i="1"/>
  <c r="E19" i="1"/>
  <c r="D19" i="1"/>
  <c r="C19" i="1"/>
  <c r="I18" i="1"/>
  <c r="B18" i="1"/>
  <c r="B19" i="1" s="1"/>
  <c r="O17" i="1"/>
  <c r="K17" i="1"/>
  <c r="L16" i="1"/>
  <c r="L19" i="1" s="1"/>
  <c r="L26" i="1" s="1"/>
  <c r="L27" i="1" s="1"/>
  <c r="L65" i="1" s="1"/>
  <c r="L66" i="1" s="1"/>
  <c r="O15" i="1"/>
  <c r="N14" i="1"/>
  <c r="M14" i="1"/>
  <c r="L14" i="1"/>
  <c r="K14" i="1"/>
  <c r="J14" i="1"/>
  <c r="I14" i="1"/>
  <c r="G14" i="1"/>
  <c r="F14" i="1"/>
  <c r="E14" i="1"/>
  <c r="O14" i="1" s="1"/>
  <c r="D14" i="1"/>
  <c r="C14" i="1"/>
  <c r="B14" i="1"/>
  <c r="O13" i="1"/>
  <c r="H13" i="1"/>
  <c r="H14" i="1" s="1"/>
  <c r="O12" i="1"/>
  <c r="N11" i="1"/>
  <c r="N26" i="1" s="1"/>
  <c r="N27" i="1" s="1"/>
  <c r="L11" i="1"/>
  <c r="J11" i="1"/>
  <c r="I11" i="1"/>
  <c r="I26" i="1" s="1"/>
  <c r="I27" i="1" s="1"/>
  <c r="I65" i="1" s="1"/>
  <c r="I66" i="1" s="1"/>
  <c r="H11" i="1"/>
  <c r="H26" i="1" s="1"/>
  <c r="H27" i="1" s="1"/>
  <c r="G11" i="1"/>
  <c r="G26" i="1" s="1"/>
  <c r="G27" i="1" s="1"/>
  <c r="G65" i="1" s="1"/>
  <c r="G66" i="1" s="1"/>
  <c r="F11" i="1"/>
  <c r="F26" i="1" s="1"/>
  <c r="F27" i="1" s="1"/>
  <c r="E11" i="1"/>
  <c r="E26" i="1" s="1"/>
  <c r="E27" i="1" s="1"/>
  <c r="D11" i="1"/>
  <c r="B11" i="1"/>
  <c r="M10" i="1"/>
  <c r="M11" i="1" s="1"/>
  <c r="M26" i="1" s="1"/>
  <c r="M27" i="1" s="1"/>
  <c r="M65" i="1" s="1"/>
  <c r="M66" i="1" s="1"/>
  <c r="K10" i="1"/>
  <c r="K11" i="1" s="1"/>
  <c r="K26" i="1" s="1"/>
  <c r="K27" i="1" s="1"/>
  <c r="O9" i="1"/>
  <c r="H9" i="1"/>
  <c r="O8" i="1"/>
  <c r="C8" i="1"/>
  <c r="C11" i="1" s="1"/>
  <c r="C26" i="1" s="1"/>
  <c r="C27" i="1" s="1"/>
  <c r="O7" i="1"/>
  <c r="J65" i="1" l="1"/>
  <c r="J66" i="1" s="1"/>
  <c r="O11" i="1"/>
  <c r="N65" i="1"/>
  <c r="N66" i="1" s="1"/>
  <c r="J64" i="1"/>
  <c r="O19" i="1"/>
  <c r="B26" i="1"/>
  <c r="E65" i="1"/>
  <c r="E66" i="1" s="1"/>
  <c r="O25" i="1"/>
  <c r="K64" i="1"/>
  <c r="K65" i="1" s="1"/>
  <c r="K66" i="1" s="1"/>
  <c r="O48" i="1"/>
  <c r="B49" i="1"/>
  <c r="O49" i="1" s="1"/>
  <c r="C64" i="1"/>
  <c r="C65" i="1" s="1"/>
  <c r="C66" i="1" s="1"/>
  <c r="O18" i="1"/>
  <c r="H32" i="1"/>
  <c r="H64" i="1" s="1"/>
  <c r="H65" i="1" s="1"/>
  <c r="H66" i="1" s="1"/>
  <c r="F62" i="1"/>
  <c r="F64" i="1" s="1"/>
  <c r="F65" i="1" s="1"/>
  <c r="F66" i="1" s="1"/>
  <c r="O10" i="1"/>
  <c r="O21" i="1"/>
  <c r="O47" i="1"/>
  <c r="O56" i="1"/>
  <c r="O16" i="1"/>
  <c r="D59" i="1"/>
  <c r="O59" i="1" s="1"/>
  <c r="B64" i="1"/>
  <c r="O46" i="1"/>
  <c r="O32" i="1" l="1"/>
  <c r="O62" i="1"/>
  <c r="B27" i="1"/>
  <c r="O26" i="1"/>
  <c r="D64" i="1"/>
  <c r="D65" i="1" s="1"/>
  <c r="D66" i="1" s="1"/>
  <c r="B65" i="1" l="1"/>
  <c r="O27" i="1"/>
  <c r="O64" i="1"/>
  <c r="B66" i="1" l="1"/>
  <c r="O66" i="1" s="1"/>
  <c r="O65" i="1"/>
</calcChain>
</file>

<file path=xl/sharedStrings.xml><?xml version="1.0" encoding="utf-8"?>
<sst xmlns="http://schemas.openxmlformats.org/spreadsheetml/2006/main" count="78" uniqueCount="78">
  <si>
    <t>Boys Basketball Boosters</t>
  </si>
  <si>
    <t>Boys Fencing</t>
  </si>
  <si>
    <t>Boys Lacrosse Boosters</t>
  </si>
  <si>
    <t>Boys Soccer</t>
  </si>
  <si>
    <t>Cheerleading Boosters</t>
  </si>
  <si>
    <t>Football Boosters</t>
  </si>
  <si>
    <t>General Fund</t>
  </si>
  <si>
    <t>Girls Basketball Boosters</t>
  </si>
  <si>
    <t>Girls Volleyball</t>
  </si>
  <si>
    <t>Hockey Boosters</t>
  </si>
  <si>
    <t>Softball</t>
  </si>
  <si>
    <t>Swimming Boosters</t>
  </si>
  <si>
    <t>Track Boosters</t>
  </si>
  <si>
    <t>TOTAL</t>
  </si>
  <si>
    <t>Income</t>
  </si>
  <si>
    <t xml:space="preserve">   43400 Direct Public Support</t>
  </si>
  <si>
    <t xml:space="preserve">      43415 Individual Contributions</t>
  </si>
  <si>
    <t xml:space="preserve">      43420 General Membership</t>
  </si>
  <si>
    <t xml:space="preserve">      43425 Team Specific Dues</t>
  </si>
  <si>
    <t xml:space="preserve">   Total 43400 Direct Public Support</t>
  </si>
  <si>
    <t xml:space="preserve">   45000 Investments</t>
  </si>
  <si>
    <t xml:space="preserve">      45030 Interest-Savings, Short-term CD</t>
  </si>
  <si>
    <t xml:space="preserve">   Total 45000 Investments</t>
  </si>
  <si>
    <t xml:space="preserve">   46400 Other Types of Income</t>
  </si>
  <si>
    <t xml:space="preserve">      46415 Sponsorship Revenue</t>
  </si>
  <si>
    <t xml:space="preserve">      46422 Merchandise Sales-Apparel</t>
  </si>
  <si>
    <t xml:space="preserve">      46426 Merchandise Sales-Team Concess</t>
  </si>
  <si>
    <t xml:space="preserve">   Total 46400 Other Types of Income</t>
  </si>
  <si>
    <t xml:space="preserve">   49000 Special Events Income</t>
  </si>
  <si>
    <t xml:space="preserve">      49100 Team Dinner Ticket Sales</t>
  </si>
  <si>
    <t xml:space="preserve">      49150 Online fundraisers(Snapraise and similar)</t>
  </si>
  <si>
    <t xml:space="preserve">      49400 Raffles</t>
  </si>
  <si>
    <t xml:space="preserve">      49500 Other Fundraisers</t>
  </si>
  <si>
    <t xml:space="preserve">   Total 49000 Special Events Income</t>
  </si>
  <si>
    <t>Total Income</t>
  </si>
  <si>
    <t>Gross Profit</t>
  </si>
  <si>
    <t>Expenses</t>
  </si>
  <si>
    <t xml:space="preserve">   50600 Cost of Concession Stand Invent</t>
  </si>
  <si>
    <t xml:space="preserve">      50625 Cost of Sales-Concession Food</t>
  </si>
  <si>
    <t xml:space="preserve">      50626 Consession Revenue Allocation</t>
  </si>
  <si>
    <t xml:space="preserve">   Total 50600 Cost of Concession Stand Invent</t>
  </si>
  <si>
    <t xml:space="preserve">   50700 Cost of Sales - Inventory Sales</t>
  </si>
  <si>
    <t xml:space="preserve">      50750 Cost of Sales-Fundraising</t>
  </si>
  <si>
    <t xml:space="preserve">   Total 50700 Cost of Sales - Inventory Sales</t>
  </si>
  <si>
    <t xml:space="preserve">   60900 Business Expenses</t>
  </si>
  <si>
    <t xml:space="preserve">      60910 Team Dinner Catering</t>
  </si>
  <si>
    <t xml:space="preserve">      60950 Competitions</t>
  </si>
  <si>
    <t xml:space="preserve">   Total 60900 Business Expenses</t>
  </si>
  <si>
    <t xml:space="preserve">   62100 Contract Services</t>
  </si>
  <si>
    <t xml:space="preserve">      62110 Accounting Fees</t>
  </si>
  <si>
    <t xml:space="preserve">      62120 Website related expenses</t>
  </si>
  <si>
    <t xml:space="preserve">         62125 Website maintenance fees</t>
  </si>
  <si>
    <t xml:space="preserve">      Total 62120 Website related expenses</t>
  </si>
  <si>
    <t xml:space="preserve">      62150 Outside Contract Services</t>
  </si>
  <si>
    <t xml:space="preserve">         62160 Photography</t>
  </si>
  <si>
    <t xml:space="preserve">         62170 Coaching Tools</t>
  </si>
  <si>
    <t xml:space="preserve">      Total 62150 Outside Contract Services</t>
  </si>
  <si>
    <t xml:space="preserve">   Total 62100 Contract Services</t>
  </si>
  <si>
    <t xml:space="preserve">   62800 Facilities and Equipment</t>
  </si>
  <si>
    <t xml:space="preserve">      62820 Team Equipment</t>
  </si>
  <si>
    <t xml:space="preserve">      62840 Equip Rental and Maintenance</t>
  </si>
  <si>
    <t xml:space="preserve">   Total 62800 Facilities and Equipment</t>
  </si>
  <si>
    <t xml:space="preserve">   65000 Operations</t>
  </si>
  <si>
    <t xml:space="preserve">      65030 Printing and Copying</t>
  </si>
  <si>
    <t xml:space="preserve">      65035 Team Supplies</t>
  </si>
  <si>
    <t xml:space="preserve">      65045 Uniforms &amp; Practice Apparel</t>
  </si>
  <si>
    <t xml:space="preserve">      65060 Meals &amp; Catering</t>
  </si>
  <si>
    <t xml:space="preserve">   Total 65000 Operations</t>
  </si>
  <si>
    <t xml:space="preserve">   65100 Other Types of Expenses</t>
  </si>
  <si>
    <t xml:space="preserve">      65160 Other Costs</t>
  </si>
  <si>
    <t xml:space="preserve">   Total 65100 Other Types of Expenses</t>
  </si>
  <si>
    <t xml:space="preserve">   65200 Senior night</t>
  </si>
  <si>
    <t>Total Expenses</t>
  </si>
  <si>
    <t>Net Operating Income</t>
  </si>
  <si>
    <t>Net Income</t>
  </si>
  <si>
    <t>Ramapo Athletic Boosters Inc.</t>
  </si>
  <si>
    <t>Profit and Loss by Class</t>
  </si>
  <si>
    <t>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</si>
</sst>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0"/>
  <sheetViews>
    <sheetView tabSelected="1" workbookViewId="0">
      <selection activeCell="P7" sqref="P7"/>
    </sheetView>
  </sheetViews>
  <sheetFormatPr defaultRowHeight="14.4" x14ac:dyDescent="0.3"/>
  <cols>
    <col min="1" max="1" width="46.44140625" customWidth="1"/>
    <col min="2" max="2" width="9.44140625" customWidth="1"/>
    <col min="3" max="3" width="7.77734375" customWidth="1"/>
    <col min="4" max="5" width="10.33203125" customWidth="1"/>
    <col min="6" max="6" width="9.44140625" customWidth="1"/>
    <col min="7" max="7" width="11.21875" customWidth="1"/>
    <col min="8" max="8" width="8.5546875" customWidth="1"/>
    <col min="9" max="9" width="7.77734375" customWidth="1"/>
    <col min="10" max="10" width="8.5546875" customWidth="1"/>
    <col min="11" max="11" width="11.21875" customWidth="1"/>
    <col min="12" max="14" width="8.5546875" customWidth="1"/>
    <col min="15" max="15" width="11.21875" customWidth="1"/>
  </cols>
  <sheetData>
    <row r="1" spans="1:15" ht="17.399999999999999" x14ac:dyDescent="0.3">
      <c r="A1" s="10" t="s">
        <v>75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7.399999999999999" x14ac:dyDescent="0.3">
      <c r="A2" s="10" t="s">
        <v>76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x14ac:dyDescent="0.3">
      <c r="A3" s="11" t="s">
        <v>77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5" spans="1:15" ht="60.6" x14ac:dyDescent="0.3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</row>
    <row r="6" spans="1:15" x14ac:dyDescent="0.3">
      <c r="A6" s="3" t="s">
        <v>14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3">
      <c r="A7" s="3" t="s">
        <v>15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>
        <f t="shared" ref="O7:O27" si="0">((((((((((((B7)+(C7))+(D7))+(E7))+(F7))+(G7))+(H7))+(I7))+(J7))+(K7))+(L7))+(M7))+(N7)</f>
        <v>0</v>
      </c>
    </row>
    <row r="8" spans="1:15" x14ac:dyDescent="0.3">
      <c r="A8" s="3" t="s">
        <v>16</v>
      </c>
      <c r="B8" s="4"/>
      <c r="C8" s="5">
        <f>292</f>
        <v>292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>
        <f t="shared" si="0"/>
        <v>292</v>
      </c>
    </row>
    <row r="9" spans="1:15" x14ac:dyDescent="0.3">
      <c r="A9" s="3" t="s">
        <v>17</v>
      </c>
      <c r="B9" s="4"/>
      <c r="C9" s="4"/>
      <c r="D9" s="4"/>
      <c r="E9" s="4"/>
      <c r="F9" s="4"/>
      <c r="G9" s="4"/>
      <c r="H9" s="5">
        <f>1015.28</f>
        <v>1015.28</v>
      </c>
      <c r="I9" s="4"/>
      <c r="J9" s="4"/>
      <c r="K9" s="4"/>
      <c r="L9" s="4"/>
      <c r="M9" s="4"/>
      <c r="N9" s="4"/>
      <c r="O9" s="5">
        <f t="shared" si="0"/>
        <v>1015.28</v>
      </c>
    </row>
    <row r="10" spans="1:15" x14ac:dyDescent="0.3">
      <c r="A10" s="3" t="s">
        <v>18</v>
      </c>
      <c r="B10" s="4"/>
      <c r="C10" s="4"/>
      <c r="D10" s="4"/>
      <c r="E10" s="4"/>
      <c r="F10" s="4"/>
      <c r="G10" s="4"/>
      <c r="H10" s="4"/>
      <c r="I10" s="4"/>
      <c r="J10" s="4"/>
      <c r="K10" s="5">
        <f>1600</f>
        <v>1600</v>
      </c>
      <c r="L10" s="4"/>
      <c r="M10" s="5">
        <f>7307</f>
        <v>7307</v>
      </c>
      <c r="N10" s="4"/>
      <c r="O10" s="5">
        <f t="shared" si="0"/>
        <v>8907</v>
      </c>
    </row>
    <row r="11" spans="1:15" x14ac:dyDescent="0.3">
      <c r="A11" s="3" t="s">
        <v>19</v>
      </c>
      <c r="B11" s="6">
        <f t="shared" ref="B11:N11" si="1">(((B7)+(B8))+(B9))+(B10)</f>
        <v>0</v>
      </c>
      <c r="C11" s="6">
        <f t="shared" si="1"/>
        <v>292</v>
      </c>
      <c r="D11" s="6">
        <f t="shared" si="1"/>
        <v>0</v>
      </c>
      <c r="E11" s="6">
        <f t="shared" si="1"/>
        <v>0</v>
      </c>
      <c r="F11" s="6">
        <f t="shared" si="1"/>
        <v>0</v>
      </c>
      <c r="G11" s="6">
        <f t="shared" si="1"/>
        <v>0</v>
      </c>
      <c r="H11" s="6">
        <f t="shared" si="1"/>
        <v>1015.28</v>
      </c>
      <c r="I11" s="6">
        <f t="shared" si="1"/>
        <v>0</v>
      </c>
      <c r="J11" s="6">
        <f t="shared" si="1"/>
        <v>0</v>
      </c>
      <c r="K11" s="6">
        <f t="shared" si="1"/>
        <v>1600</v>
      </c>
      <c r="L11" s="6">
        <f t="shared" si="1"/>
        <v>0</v>
      </c>
      <c r="M11" s="6">
        <f t="shared" si="1"/>
        <v>7307</v>
      </c>
      <c r="N11" s="6">
        <f t="shared" si="1"/>
        <v>0</v>
      </c>
      <c r="O11" s="6">
        <f t="shared" si="0"/>
        <v>10214.279999999999</v>
      </c>
    </row>
    <row r="12" spans="1:15" x14ac:dyDescent="0.3">
      <c r="A12" s="3" t="s">
        <v>20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>
        <f t="shared" si="0"/>
        <v>0</v>
      </c>
    </row>
    <row r="13" spans="1:15" x14ac:dyDescent="0.3">
      <c r="A13" s="3" t="s">
        <v>21</v>
      </c>
      <c r="B13" s="4"/>
      <c r="C13" s="4"/>
      <c r="D13" s="4"/>
      <c r="E13" s="4"/>
      <c r="F13" s="4"/>
      <c r="G13" s="4"/>
      <c r="H13" s="5">
        <f>8.32</f>
        <v>8.32</v>
      </c>
      <c r="I13" s="4"/>
      <c r="J13" s="4"/>
      <c r="K13" s="4"/>
      <c r="L13" s="4"/>
      <c r="M13" s="4"/>
      <c r="N13" s="4"/>
      <c r="O13" s="5">
        <f t="shared" si="0"/>
        <v>8.32</v>
      </c>
    </row>
    <row r="14" spans="1:15" x14ac:dyDescent="0.3">
      <c r="A14" s="3" t="s">
        <v>22</v>
      </c>
      <c r="B14" s="6">
        <f t="shared" ref="B14:N14" si="2">(B12)+(B13)</f>
        <v>0</v>
      </c>
      <c r="C14" s="6">
        <f t="shared" si="2"/>
        <v>0</v>
      </c>
      <c r="D14" s="6">
        <f t="shared" si="2"/>
        <v>0</v>
      </c>
      <c r="E14" s="6">
        <f t="shared" si="2"/>
        <v>0</v>
      </c>
      <c r="F14" s="6">
        <f t="shared" si="2"/>
        <v>0</v>
      </c>
      <c r="G14" s="6">
        <f t="shared" si="2"/>
        <v>0</v>
      </c>
      <c r="H14" s="6">
        <f t="shared" si="2"/>
        <v>8.32</v>
      </c>
      <c r="I14" s="6">
        <f t="shared" si="2"/>
        <v>0</v>
      </c>
      <c r="J14" s="6">
        <f t="shared" si="2"/>
        <v>0</v>
      </c>
      <c r="K14" s="6">
        <f t="shared" si="2"/>
        <v>0</v>
      </c>
      <c r="L14" s="6">
        <f t="shared" si="2"/>
        <v>0</v>
      </c>
      <c r="M14" s="6">
        <f t="shared" si="2"/>
        <v>0</v>
      </c>
      <c r="N14" s="6">
        <f t="shared" si="2"/>
        <v>0</v>
      </c>
      <c r="O14" s="6">
        <f t="shared" si="0"/>
        <v>8.32</v>
      </c>
    </row>
    <row r="15" spans="1:15" x14ac:dyDescent="0.3">
      <c r="A15" s="3" t="s">
        <v>23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5">
        <f t="shared" si="0"/>
        <v>0</v>
      </c>
    </row>
    <row r="16" spans="1:15" x14ac:dyDescent="0.3">
      <c r="A16" s="3" t="s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5">
        <f>4550</f>
        <v>4550</v>
      </c>
      <c r="M16" s="4"/>
      <c r="N16" s="4"/>
      <c r="O16" s="5">
        <f t="shared" si="0"/>
        <v>4550</v>
      </c>
    </row>
    <row r="17" spans="1:15" x14ac:dyDescent="0.3">
      <c r="A17" s="3" t="s">
        <v>25</v>
      </c>
      <c r="B17" s="4"/>
      <c r="C17" s="4"/>
      <c r="D17" s="4"/>
      <c r="E17" s="4"/>
      <c r="F17" s="4"/>
      <c r="G17" s="4"/>
      <c r="H17" s="4"/>
      <c r="I17" s="4"/>
      <c r="J17" s="4"/>
      <c r="K17" s="5">
        <f>520.99</f>
        <v>520.99</v>
      </c>
      <c r="L17" s="4"/>
      <c r="M17" s="4"/>
      <c r="N17" s="4"/>
      <c r="O17" s="5">
        <f t="shared" si="0"/>
        <v>520.99</v>
      </c>
    </row>
    <row r="18" spans="1:15" x14ac:dyDescent="0.3">
      <c r="A18" s="3" t="s">
        <v>26</v>
      </c>
      <c r="B18" s="5">
        <f>429.6</f>
        <v>429.6</v>
      </c>
      <c r="C18" s="4"/>
      <c r="D18" s="4"/>
      <c r="E18" s="4"/>
      <c r="F18" s="4"/>
      <c r="G18" s="4"/>
      <c r="H18" s="4"/>
      <c r="I18" s="5">
        <f>622.3</f>
        <v>622.29999999999995</v>
      </c>
      <c r="J18" s="4"/>
      <c r="K18" s="4"/>
      <c r="L18" s="4"/>
      <c r="M18" s="4"/>
      <c r="N18" s="4"/>
      <c r="O18" s="5">
        <f t="shared" si="0"/>
        <v>1051.9000000000001</v>
      </c>
    </row>
    <row r="19" spans="1:15" x14ac:dyDescent="0.3">
      <c r="A19" s="3" t="s">
        <v>27</v>
      </c>
      <c r="B19" s="6">
        <f t="shared" ref="B19:N19" si="3">(((B15)+(B16))+(B17))+(B18)</f>
        <v>429.6</v>
      </c>
      <c r="C19" s="6">
        <f t="shared" si="3"/>
        <v>0</v>
      </c>
      <c r="D19" s="6">
        <f t="shared" si="3"/>
        <v>0</v>
      </c>
      <c r="E19" s="6">
        <f t="shared" si="3"/>
        <v>0</v>
      </c>
      <c r="F19" s="6">
        <f t="shared" si="3"/>
        <v>0</v>
      </c>
      <c r="G19" s="6">
        <f t="shared" si="3"/>
        <v>0</v>
      </c>
      <c r="H19" s="6">
        <f t="shared" si="3"/>
        <v>0</v>
      </c>
      <c r="I19" s="6">
        <f t="shared" si="3"/>
        <v>622.29999999999995</v>
      </c>
      <c r="J19" s="6">
        <f t="shared" si="3"/>
        <v>0</v>
      </c>
      <c r="K19" s="6">
        <f t="shared" si="3"/>
        <v>520.99</v>
      </c>
      <c r="L19" s="6">
        <f t="shared" si="3"/>
        <v>4550</v>
      </c>
      <c r="M19" s="6">
        <f t="shared" si="3"/>
        <v>0</v>
      </c>
      <c r="N19" s="6">
        <f t="shared" si="3"/>
        <v>0</v>
      </c>
      <c r="O19" s="6">
        <f t="shared" si="0"/>
        <v>6122.89</v>
      </c>
    </row>
    <row r="20" spans="1:15" x14ac:dyDescent="0.3">
      <c r="A20" s="3" t="s">
        <v>28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>
        <f t="shared" si="0"/>
        <v>0</v>
      </c>
    </row>
    <row r="21" spans="1:15" x14ac:dyDescent="0.3">
      <c r="A21" s="3" t="s">
        <v>29</v>
      </c>
      <c r="B21" s="4"/>
      <c r="C21" s="4"/>
      <c r="D21" s="4"/>
      <c r="E21" s="4"/>
      <c r="F21" s="4"/>
      <c r="G21" s="5">
        <f>300</f>
        <v>300</v>
      </c>
      <c r="H21" s="4"/>
      <c r="I21" s="4"/>
      <c r="J21" s="4"/>
      <c r="K21" s="4"/>
      <c r="L21" s="4"/>
      <c r="M21" s="4"/>
      <c r="N21" s="4"/>
      <c r="O21" s="5">
        <f t="shared" si="0"/>
        <v>300</v>
      </c>
    </row>
    <row r="22" spans="1:15" x14ac:dyDescent="0.3">
      <c r="A22" s="3" t="s">
        <v>30</v>
      </c>
      <c r="B22" s="4"/>
      <c r="C22" s="4"/>
      <c r="D22" s="4"/>
      <c r="E22" s="4"/>
      <c r="F22" s="5">
        <f>10868.6</f>
        <v>10868.6</v>
      </c>
      <c r="G22" s="4"/>
      <c r="H22" s="4"/>
      <c r="I22" s="4"/>
      <c r="J22" s="4"/>
      <c r="K22" s="4"/>
      <c r="L22" s="4"/>
      <c r="M22" s="4"/>
      <c r="N22" s="5">
        <f>6903.46</f>
        <v>6903.46</v>
      </c>
      <c r="O22" s="5">
        <f t="shared" si="0"/>
        <v>17772.060000000001</v>
      </c>
    </row>
    <row r="23" spans="1:15" x14ac:dyDescent="0.3">
      <c r="A23" s="3" t="s">
        <v>31</v>
      </c>
      <c r="B23" s="4"/>
      <c r="C23" s="4"/>
      <c r="D23" s="5">
        <f>4840</f>
        <v>4840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5">
        <f t="shared" si="0"/>
        <v>4840</v>
      </c>
    </row>
    <row r="24" spans="1:15" x14ac:dyDescent="0.3">
      <c r="A24" s="3" t="s">
        <v>32</v>
      </c>
      <c r="B24" s="5">
        <f>15465.69</f>
        <v>15465.69</v>
      </c>
      <c r="C24" s="4"/>
      <c r="D24" s="5">
        <f>462</f>
        <v>462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5">
        <f t="shared" si="0"/>
        <v>15927.69</v>
      </c>
    </row>
    <row r="25" spans="1:15" x14ac:dyDescent="0.3">
      <c r="A25" s="3" t="s">
        <v>33</v>
      </c>
      <c r="B25" s="6">
        <f t="shared" ref="B25:N25" si="4">((((B20)+(B21))+(B22))+(B23))+(B24)</f>
        <v>15465.69</v>
      </c>
      <c r="C25" s="6">
        <f t="shared" si="4"/>
        <v>0</v>
      </c>
      <c r="D25" s="6">
        <f t="shared" si="4"/>
        <v>5302</v>
      </c>
      <c r="E25" s="6">
        <f t="shared" si="4"/>
        <v>0</v>
      </c>
      <c r="F25" s="6">
        <f t="shared" si="4"/>
        <v>10868.6</v>
      </c>
      <c r="G25" s="6">
        <f t="shared" si="4"/>
        <v>300</v>
      </c>
      <c r="H25" s="6">
        <f t="shared" si="4"/>
        <v>0</v>
      </c>
      <c r="I25" s="6">
        <f t="shared" si="4"/>
        <v>0</v>
      </c>
      <c r="J25" s="6">
        <f t="shared" si="4"/>
        <v>0</v>
      </c>
      <c r="K25" s="6">
        <f t="shared" si="4"/>
        <v>0</v>
      </c>
      <c r="L25" s="6">
        <f t="shared" si="4"/>
        <v>0</v>
      </c>
      <c r="M25" s="6">
        <f t="shared" si="4"/>
        <v>0</v>
      </c>
      <c r="N25" s="6">
        <f t="shared" si="4"/>
        <v>6903.46</v>
      </c>
      <c r="O25" s="6">
        <f t="shared" si="0"/>
        <v>38839.75</v>
      </c>
    </row>
    <row r="26" spans="1:15" x14ac:dyDescent="0.3">
      <c r="A26" s="3" t="s">
        <v>34</v>
      </c>
      <c r="B26" s="6">
        <f t="shared" ref="B26:N26" si="5">(((B11)+(B14))+(B19))+(B25)</f>
        <v>15895.29</v>
      </c>
      <c r="C26" s="6">
        <f t="shared" si="5"/>
        <v>292</v>
      </c>
      <c r="D26" s="6">
        <f t="shared" si="5"/>
        <v>5302</v>
      </c>
      <c r="E26" s="6">
        <f t="shared" si="5"/>
        <v>0</v>
      </c>
      <c r="F26" s="6">
        <f t="shared" si="5"/>
        <v>10868.6</v>
      </c>
      <c r="G26" s="6">
        <f t="shared" si="5"/>
        <v>300</v>
      </c>
      <c r="H26" s="6">
        <f t="shared" si="5"/>
        <v>1023.6</v>
      </c>
      <c r="I26" s="6">
        <f t="shared" si="5"/>
        <v>622.29999999999995</v>
      </c>
      <c r="J26" s="6">
        <f t="shared" si="5"/>
        <v>0</v>
      </c>
      <c r="K26" s="6">
        <f t="shared" si="5"/>
        <v>2120.9899999999998</v>
      </c>
      <c r="L26" s="6">
        <f t="shared" si="5"/>
        <v>4550</v>
      </c>
      <c r="M26" s="6">
        <f t="shared" si="5"/>
        <v>7307</v>
      </c>
      <c r="N26" s="6">
        <f t="shared" si="5"/>
        <v>6903.46</v>
      </c>
      <c r="O26" s="6">
        <f t="shared" si="0"/>
        <v>55185.24</v>
      </c>
    </row>
    <row r="27" spans="1:15" x14ac:dyDescent="0.3">
      <c r="A27" s="3" t="s">
        <v>35</v>
      </c>
      <c r="B27" s="6">
        <f t="shared" ref="B27:N27" si="6">(B26)-(0)</f>
        <v>15895.29</v>
      </c>
      <c r="C27" s="6">
        <f t="shared" si="6"/>
        <v>292</v>
      </c>
      <c r="D27" s="6">
        <f t="shared" si="6"/>
        <v>5302</v>
      </c>
      <c r="E27" s="6">
        <f t="shared" si="6"/>
        <v>0</v>
      </c>
      <c r="F27" s="6">
        <f t="shared" si="6"/>
        <v>10868.6</v>
      </c>
      <c r="G27" s="6">
        <f t="shared" si="6"/>
        <v>300</v>
      </c>
      <c r="H27" s="6">
        <f t="shared" si="6"/>
        <v>1023.6</v>
      </c>
      <c r="I27" s="6">
        <f t="shared" si="6"/>
        <v>622.29999999999995</v>
      </c>
      <c r="J27" s="6">
        <f t="shared" si="6"/>
        <v>0</v>
      </c>
      <c r="K27" s="6">
        <f t="shared" si="6"/>
        <v>2120.9899999999998</v>
      </c>
      <c r="L27" s="6">
        <f t="shared" si="6"/>
        <v>4550</v>
      </c>
      <c r="M27" s="6">
        <f t="shared" si="6"/>
        <v>7307</v>
      </c>
      <c r="N27" s="6">
        <f t="shared" si="6"/>
        <v>6903.46</v>
      </c>
      <c r="O27" s="6">
        <f t="shared" si="0"/>
        <v>55185.24</v>
      </c>
    </row>
    <row r="28" spans="1:15" x14ac:dyDescent="0.3">
      <c r="A28" s="3" t="s">
        <v>36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3">
      <c r="A29" s="3" t="s">
        <v>37</v>
      </c>
      <c r="B29" s="4"/>
      <c r="C29" s="4"/>
      <c r="D29" s="4"/>
      <c r="E29" s="4"/>
      <c r="F29" s="4"/>
      <c r="G29" s="4"/>
      <c r="H29" s="5">
        <f>507.68</f>
        <v>507.68</v>
      </c>
      <c r="I29" s="4"/>
      <c r="J29" s="4"/>
      <c r="K29" s="4"/>
      <c r="L29" s="4"/>
      <c r="M29" s="4"/>
      <c r="N29" s="4"/>
      <c r="O29" s="5">
        <f t="shared" ref="O29:O66" si="7">((((((((((((B29)+(C29))+(D29))+(E29))+(F29))+(G29))+(H29))+(I29))+(J29))+(K29))+(L29))+(M29))+(N29)</f>
        <v>507.68</v>
      </c>
    </row>
    <row r="30" spans="1:15" x14ac:dyDescent="0.3">
      <c r="A30" s="3" t="s">
        <v>38</v>
      </c>
      <c r="B30" s="4"/>
      <c r="C30" s="4"/>
      <c r="D30" s="4"/>
      <c r="E30" s="4"/>
      <c r="F30" s="4"/>
      <c r="G30" s="4"/>
      <c r="H30" s="5">
        <f>178.84</f>
        <v>178.84</v>
      </c>
      <c r="I30" s="4"/>
      <c r="J30" s="4"/>
      <c r="K30" s="4"/>
      <c r="L30" s="4"/>
      <c r="M30" s="4"/>
      <c r="N30" s="4"/>
      <c r="O30" s="5">
        <f t="shared" si="7"/>
        <v>178.84</v>
      </c>
    </row>
    <row r="31" spans="1:15" x14ac:dyDescent="0.3">
      <c r="A31" s="3" t="s">
        <v>39</v>
      </c>
      <c r="B31" s="4"/>
      <c r="C31" s="4"/>
      <c r="D31" s="4"/>
      <c r="E31" s="4"/>
      <c r="F31" s="4"/>
      <c r="G31" s="4"/>
      <c r="H31" s="5">
        <f>-266.7</f>
        <v>-266.7</v>
      </c>
      <c r="I31" s="4"/>
      <c r="J31" s="4"/>
      <c r="K31" s="4"/>
      <c r="L31" s="4"/>
      <c r="M31" s="4"/>
      <c r="N31" s="4"/>
      <c r="O31" s="5">
        <f t="shared" si="7"/>
        <v>-266.7</v>
      </c>
    </row>
    <row r="32" spans="1:15" x14ac:dyDescent="0.3">
      <c r="A32" s="3" t="s">
        <v>40</v>
      </c>
      <c r="B32" s="6">
        <f t="shared" ref="B32:N32" si="8">((B29)+(B30))+(B31)</f>
        <v>0</v>
      </c>
      <c r="C32" s="6">
        <f t="shared" si="8"/>
        <v>0</v>
      </c>
      <c r="D32" s="6">
        <f t="shared" si="8"/>
        <v>0</v>
      </c>
      <c r="E32" s="6">
        <f t="shared" si="8"/>
        <v>0</v>
      </c>
      <c r="F32" s="6">
        <f t="shared" si="8"/>
        <v>0</v>
      </c>
      <c r="G32" s="6">
        <f t="shared" si="8"/>
        <v>0</v>
      </c>
      <c r="H32" s="6">
        <f t="shared" si="8"/>
        <v>419.82</v>
      </c>
      <c r="I32" s="6">
        <f t="shared" si="8"/>
        <v>0</v>
      </c>
      <c r="J32" s="6">
        <f t="shared" si="8"/>
        <v>0</v>
      </c>
      <c r="K32" s="6">
        <f t="shared" si="8"/>
        <v>0</v>
      </c>
      <c r="L32" s="6">
        <f t="shared" si="8"/>
        <v>0</v>
      </c>
      <c r="M32" s="6">
        <f t="shared" si="8"/>
        <v>0</v>
      </c>
      <c r="N32" s="6">
        <f t="shared" si="8"/>
        <v>0</v>
      </c>
      <c r="O32" s="6">
        <f t="shared" si="7"/>
        <v>419.82</v>
      </c>
    </row>
    <row r="33" spans="1:15" x14ac:dyDescent="0.3">
      <c r="A33" s="3" t="s">
        <v>41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5">
        <f t="shared" si="7"/>
        <v>0</v>
      </c>
    </row>
    <row r="34" spans="1:15" x14ac:dyDescent="0.3">
      <c r="A34" s="3" t="s">
        <v>42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>
        <f>2083</f>
        <v>2083</v>
      </c>
      <c r="O34" s="5">
        <f t="shared" si="7"/>
        <v>2083</v>
      </c>
    </row>
    <row r="35" spans="1:15" x14ac:dyDescent="0.3">
      <c r="A35" s="3" t="s">
        <v>43</v>
      </c>
      <c r="B35" s="6">
        <f t="shared" ref="B35:N35" si="9">(B33)+(B34)</f>
        <v>0</v>
      </c>
      <c r="C35" s="6">
        <f t="shared" si="9"/>
        <v>0</v>
      </c>
      <c r="D35" s="6">
        <f t="shared" si="9"/>
        <v>0</v>
      </c>
      <c r="E35" s="6">
        <f t="shared" si="9"/>
        <v>0</v>
      </c>
      <c r="F35" s="6">
        <f t="shared" si="9"/>
        <v>0</v>
      </c>
      <c r="G35" s="6">
        <f t="shared" si="9"/>
        <v>0</v>
      </c>
      <c r="H35" s="6">
        <f t="shared" si="9"/>
        <v>0</v>
      </c>
      <c r="I35" s="6">
        <f t="shared" si="9"/>
        <v>0</v>
      </c>
      <c r="J35" s="6">
        <f t="shared" si="9"/>
        <v>0</v>
      </c>
      <c r="K35" s="6">
        <f t="shared" si="9"/>
        <v>0</v>
      </c>
      <c r="L35" s="6">
        <f t="shared" si="9"/>
        <v>0</v>
      </c>
      <c r="M35" s="6">
        <f t="shared" si="9"/>
        <v>0</v>
      </c>
      <c r="N35" s="6">
        <f t="shared" si="9"/>
        <v>2083</v>
      </c>
      <c r="O35" s="6">
        <f t="shared" si="7"/>
        <v>2083</v>
      </c>
    </row>
    <row r="36" spans="1:15" x14ac:dyDescent="0.3">
      <c r="A36" s="3" t="s">
        <v>44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5">
        <f t="shared" si="7"/>
        <v>0</v>
      </c>
    </row>
    <row r="37" spans="1:15" x14ac:dyDescent="0.3">
      <c r="A37" s="3" t="s">
        <v>45</v>
      </c>
      <c r="B37" s="4"/>
      <c r="C37" s="4"/>
      <c r="D37" s="4"/>
      <c r="E37" s="5">
        <f>6750</f>
        <v>6750</v>
      </c>
      <c r="F37" s="5">
        <f>250</f>
        <v>250</v>
      </c>
      <c r="G37" s="5">
        <f>17026</f>
        <v>17026</v>
      </c>
      <c r="H37" s="4"/>
      <c r="I37" s="4"/>
      <c r="J37" s="5">
        <f>270</f>
        <v>270</v>
      </c>
      <c r="K37" s="4"/>
      <c r="L37" s="4"/>
      <c r="M37" s="4"/>
      <c r="N37" s="5">
        <f>513</f>
        <v>513</v>
      </c>
      <c r="O37" s="5">
        <f t="shared" si="7"/>
        <v>24809</v>
      </c>
    </row>
    <row r="38" spans="1:15" x14ac:dyDescent="0.3">
      <c r="A38" s="3" t="s">
        <v>46</v>
      </c>
      <c r="B38" s="4"/>
      <c r="C38" s="4"/>
      <c r="D38" s="4"/>
      <c r="E38" s="4"/>
      <c r="F38" s="5">
        <f>1580</f>
        <v>1580</v>
      </c>
      <c r="G38" s="4"/>
      <c r="H38" s="4"/>
      <c r="I38" s="4"/>
      <c r="J38" s="4"/>
      <c r="K38" s="4"/>
      <c r="L38" s="4"/>
      <c r="M38" s="4"/>
      <c r="N38" s="5">
        <f>200</f>
        <v>200</v>
      </c>
      <c r="O38" s="5">
        <f t="shared" si="7"/>
        <v>1780</v>
      </c>
    </row>
    <row r="39" spans="1:15" x14ac:dyDescent="0.3">
      <c r="A39" s="3" t="s">
        <v>47</v>
      </c>
      <c r="B39" s="6">
        <f t="shared" ref="B39:N39" si="10">((B36)+(B37))+(B38)</f>
        <v>0</v>
      </c>
      <c r="C39" s="6">
        <f t="shared" si="10"/>
        <v>0</v>
      </c>
      <c r="D39" s="6">
        <f t="shared" si="10"/>
        <v>0</v>
      </c>
      <c r="E39" s="6">
        <f t="shared" si="10"/>
        <v>6750</v>
      </c>
      <c r="F39" s="6">
        <f t="shared" si="10"/>
        <v>1830</v>
      </c>
      <c r="G39" s="6">
        <f t="shared" si="10"/>
        <v>17026</v>
      </c>
      <c r="H39" s="6">
        <f t="shared" si="10"/>
        <v>0</v>
      </c>
      <c r="I39" s="6">
        <f t="shared" si="10"/>
        <v>0</v>
      </c>
      <c r="J39" s="6">
        <f t="shared" si="10"/>
        <v>270</v>
      </c>
      <c r="K39" s="6">
        <f t="shared" si="10"/>
        <v>0</v>
      </c>
      <c r="L39" s="6">
        <f t="shared" si="10"/>
        <v>0</v>
      </c>
      <c r="M39" s="6">
        <f t="shared" si="10"/>
        <v>0</v>
      </c>
      <c r="N39" s="6">
        <f t="shared" si="10"/>
        <v>713</v>
      </c>
      <c r="O39" s="6">
        <f t="shared" si="7"/>
        <v>26589</v>
      </c>
    </row>
    <row r="40" spans="1:15" x14ac:dyDescent="0.3">
      <c r="A40" s="3" t="s">
        <v>48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5">
        <f t="shared" si="7"/>
        <v>0</v>
      </c>
    </row>
    <row r="41" spans="1:15" x14ac:dyDescent="0.3">
      <c r="A41" s="3" t="s">
        <v>49</v>
      </c>
      <c r="B41" s="4"/>
      <c r="C41" s="4"/>
      <c r="D41" s="4"/>
      <c r="E41" s="4"/>
      <c r="F41" s="4"/>
      <c r="G41" s="4"/>
      <c r="H41" s="5">
        <f>130</f>
        <v>130</v>
      </c>
      <c r="I41" s="4"/>
      <c r="J41" s="4"/>
      <c r="K41" s="4"/>
      <c r="L41" s="4"/>
      <c r="M41" s="4"/>
      <c r="N41" s="4"/>
      <c r="O41" s="5">
        <f t="shared" si="7"/>
        <v>130</v>
      </c>
    </row>
    <row r="42" spans="1:15" x14ac:dyDescent="0.3">
      <c r="A42" s="3" t="s">
        <v>50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5">
        <f t="shared" si="7"/>
        <v>0</v>
      </c>
    </row>
    <row r="43" spans="1:15" x14ac:dyDescent="0.3">
      <c r="A43" s="3" t="s">
        <v>51</v>
      </c>
      <c r="B43" s="4"/>
      <c r="C43" s="4"/>
      <c r="D43" s="4"/>
      <c r="E43" s="4"/>
      <c r="F43" s="4"/>
      <c r="G43" s="4"/>
      <c r="H43" s="5">
        <f>36</f>
        <v>36</v>
      </c>
      <c r="I43" s="4"/>
      <c r="J43" s="4"/>
      <c r="K43" s="4"/>
      <c r="L43" s="4"/>
      <c r="M43" s="4"/>
      <c r="N43" s="4"/>
      <c r="O43" s="5">
        <f t="shared" si="7"/>
        <v>36</v>
      </c>
    </row>
    <row r="44" spans="1:15" x14ac:dyDescent="0.3">
      <c r="A44" s="3" t="s">
        <v>52</v>
      </c>
      <c r="B44" s="6">
        <f t="shared" ref="B44:N44" si="11">(B42)+(B43)</f>
        <v>0</v>
      </c>
      <c r="C44" s="6">
        <f t="shared" si="11"/>
        <v>0</v>
      </c>
      <c r="D44" s="6">
        <f t="shared" si="11"/>
        <v>0</v>
      </c>
      <c r="E44" s="6">
        <f t="shared" si="11"/>
        <v>0</v>
      </c>
      <c r="F44" s="6">
        <f t="shared" si="11"/>
        <v>0</v>
      </c>
      <c r="G44" s="6">
        <f t="shared" si="11"/>
        <v>0</v>
      </c>
      <c r="H44" s="6">
        <f t="shared" si="11"/>
        <v>36</v>
      </c>
      <c r="I44" s="6">
        <f t="shared" si="11"/>
        <v>0</v>
      </c>
      <c r="J44" s="6">
        <f t="shared" si="11"/>
        <v>0</v>
      </c>
      <c r="K44" s="6">
        <f t="shared" si="11"/>
        <v>0</v>
      </c>
      <c r="L44" s="6">
        <f t="shared" si="11"/>
        <v>0</v>
      </c>
      <c r="M44" s="6">
        <f t="shared" si="11"/>
        <v>0</v>
      </c>
      <c r="N44" s="6">
        <f t="shared" si="11"/>
        <v>0</v>
      </c>
      <c r="O44" s="6">
        <f t="shared" si="7"/>
        <v>36</v>
      </c>
    </row>
    <row r="45" spans="1:15" x14ac:dyDescent="0.3">
      <c r="A45" s="3" t="s">
        <v>53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5">
        <f t="shared" si="7"/>
        <v>0</v>
      </c>
    </row>
    <row r="46" spans="1:15" x14ac:dyDescent="0.3">
      <c r="A46" s="3" t="s">
        <v>54</v>
      </c>
      <c r="B46" s="4"/>
      <c r="C46" s="4"/>
      <c r="D46" s="4"/>
      <c r="E46" s="4"/>
      <c r="F46" s="4"/>
      <c r="G46" s="5">
        <f>1150</f>
        <v>1150</v>
      </c>
      <c r="H46" s="4"/>
      <c r="I46" s="4"/>
      <c r="J46" s="4"/>
      <c r="K46" s="4"/>
      <c r="L46" s="4"/>
      <c r="M46" s="4"/>
      <c r="N46" s="4"/>
      <c r="O46" s="5">
        <f t="shared" si="7"/>
        <v>1150</v>
      </c>
    </row>
    <row r="47" spans="1:15" x14ac:dyDescent="0.3">
      <c r="A47" s="3" t="s">
        <v>55</v>
      </c>
      <c r="B47" s="5">
        <f>1650</f>
        <v>1650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5">
        <f t="shared" si="7"/>
        <v>1650</v>
      </c>
    </row>
    <row r="48" spans="1:15" x14ac:dyDescent="0.3">
      <c r="A48" s="3" t="s">
        <v>56</v>
      </c>
      <c r="B48" s="6">
        <f t="shared" ref="B48:N48" si="12">((B45)+(B46))+(B47)</f>
        <v>1650</v>
      </c>
      <c r="C48" s="6">
        <f t="shared" si="12"/>
        <v>0</v>
      </c>
      <c r="D48" s="6">
        <f t="shared" si="12"/>
        <v>0</v>
      </c>
      <c r="E48" s="6">
        <f t="shared" si="12"/>
        <v>0</v>
      </c>
      <c r="F48" s="6">
        <f t="shared" si="12"/>
        <v>0</v>
      </c>
      <c r="G48" s="6">
        <f t="shared" si="12"/>
        <v>1150</v>
      </c>
      <c r="H48" s="6">
        <f t="shared" si="12"/>
        <v>0</v>
      </c>
      <c r="I48" s="6">
        <f t="shared" si="12"/>
        <v>0</v>
      </c>
      <c r="J48" s="6">
        <f t="shared" si="12"/>
        <v>0</v>
      </c>
      <c r="K48" s="6">
        <f t="shared" si="12"/>
        <v>0</v>
      </c>
      <c r="L48" s="6">
        <f t="shared" si="12"/>
        <v>0</v>
      </c>
      <c r="M48" s="6">
        <f t="shared" si="12"/>
        <v>0</v>
      </c>
      <c r="N48" s="6">
        <f t="shared" si="12"/>
        <v>0</v>
      </c>
      <c r="O48" s="6">
        <f t="shared" si="7"/>
        <v>2800</v>
      </c>
    </row>
    <row r="49" spans="1:15" x14ac:dyDescent="0.3">
      <c r="A49" s="3" t="s">
        <v>57</v>
      </c>
      <c r="B49" s="6">
        <f t="shared" ref="B49:N49" si="13">(((B40)+(B41))+(B44))+(B48)</f>
        <v>1650</v>
      </c>
      <c r="C49" s="6">
        <f t="shared" si="13"/>
        <v>0</v>
      </c>
      <c r="D49" s="6">
        <f t="shared" si="13"/>
        <v>0</v>
      </c>
      <c r="E49" s="6">
        <f t="shared" si="13"/>
        <v>0</v>
      </c>
      <c r="F49" s="6">
        <f t="shared" si="13"/>
        <v>0</v>
      </c>
      <c r="G49" s="6">
        <f t="shared" si="13"/>
        <v>1150</v>
      </c>
      <c r="H49" s="6">
        <f t="shared" si="13"/>
        <v>166</v>
      </c>
      <c r="I49" s="6">
        <f t="shared" si="13"/>
        <v>0</v>
      </c>
      <c r="J49" s="6">
        <f t="shared" si="13"/>
        <v>0</v>
      </c>
      <c r="K49" s="6">
        <f t="shared" si="13"/>
        <v>0</v>
      </c>
      <c r="L49" s="6">
        <f t="shared" si="13"/>
        <v>0</v>
      </c>
      <c r="M49" s="6">
        <f t="shared" si="13"/>
        <v>0</v>
      </c>
      <c r="N49" s="6">
        <f t="shared" si="13"/>
        <v>0</v>
      </c>
      <c r="O49" s="6">
        <f t="shared" si="7"/>
        <v>2966</v>
      </c>
    </row>
    <row r="50" spans="1:15" x14ac:dyDescent="0.3">
      <c r="A50" s="3" t="s">
        <v>58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5">
        <f t="shared" si="7"/>
        <v>0</v>
      </c>
    </row>
    <row r="51" spans="1:15" x14ac:dyDescent="0.3">
      <c r="A51" s="3" t="s">
        <v>59</v>
      </c>
      <c r="B51" s="4"/>
      <c r="C51" s="4"/>
      <c r="D51" s="5">
        <f>7419</f>
        <v>7419</v>
      </c>
      <c r="E51" s="4"/>
      <c r="F51" s="4"/>
      <c r="G51" s="5">
        <f>1454.72</f>
        <v>1454.72</v>
      </c>
      <c r="H51" s="4"/>
      <c r="I51" s="4"/>
      <c r="J51" s="4"/>
      <c r="K51" s="4"/>
      <c r="L51" s="4"/>
      <c r="M51" s="4"/>
      <c r="N51" s="4"/>
      <c r="O51" s="5">
        <f t="shared" si="7"/>
        <v>8873.7199999999993</v>
      </c>
    </row>
    <row r="52" spans="1:15" x14ac:dyDescent="0.3">
      <c r="A52" s="3" t="s">
        <v>60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>
        <f>280.9</f>
        <v>280.89999999999998</v>
      </c>
      <c r="O52" s="5">
        <f t="shared" si="7"/>
        <v>280.89999999999998</v>
      </c>
    </row>
    <row r="53" spans="1:15" x14ac:dyDescent="0.3">
      <c r="A53" s="3" t="s">
        <v>61</v>
      </c>
      <c r="B53" s="6">
        <f t="shared" ref="B53:N53" si="14">((B50)+(B51))+(B52)</f>
        <v>0</v>
      </c>
      <c r="C53" s="6">
        <f t="shared" si="14"/>
        <v>0</v>
      </c>
      <c r="D53" s="6">
        <f t="shared" si="14"/>
        <v>7419</v>
      </c>
      <c r="E53" s="6">
        <f t="shared" si="14"/>
        <v>0</v>
      </c>
      <c r="F53" s="6">
        <f t="shared" si="14"/>
        <v>0</v>
      </c>
      <c r="G53" s="6">
        <f t="shared" si="14"/>
        <v>1454.72</v>
      </c>
      <c r="H53" s="6">
        <f t="shared" si="14"/>
        <v>0</v>
      </c>
      <c r="I53" s="6">
        <f t="shared" si="14"/>
        <v>0</v>
      </c>
      <c r="J53" s="6">
        <f t="shared" si="14"/>
        <v>0</v>
      </c>
      <c r="K53" s="6">
        <f t="shared" si="14"/>
        <v>0</v>
      </c>
      <c r="L53" s="6">
        <f t="shared" si="14"/>
        <v>0</v>
      </c>
      <c r="M53" s="6">
        <f t="shared" si="14"/>
        <v>0</v>
      </c>
      <c r="N53" s="6">
        <f t="shared" si="14"/>
        <v>280.89999999999998</v>
      </c>
      <c r="O53" s="6">
        <f t="shared" si="7"/>
        <v>9154.619999999999</v>
      </c>
    </row>
    <row r="54" spans="1:15" x14ac:dyDescent="0.3">
      <c r="A54" s="3" t="s">
        <v>62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5">
        <f t="shared" si="7"/>
        <v>0</v>
      </c>
    </row>
    <row r="55" spans="1:15" x14ac:dyDescent="0.3">
      <c r="A55" s="3" t="s">
        <v>63</v>
      </c>
      <c r="B55" s="4"/>
      <c r="C55" s="4"/>
      <c r="D55" s="5">
        <f>85</f>
        <v>85</v>
      </c>
      <c r="E55" s="5">
        <f>674.78</f>
        <v>674.78</v>
      </c>
      <c r="F55" s="5">
        <f>1350</f>
        <v>1350</v>
      </c>
      <c r="G55" s="4"/>
      <c r="H55" s="5">
        <f>150.03</f>
        <v>150.03</v>
      </c>
      <c r="I55" s="4"/>
      <c r="J55" s="4"/>
      <c r="K55" s="4"/>
      <c r="L55" s="4"/>
      <c r="M55" s="4"/>
      <c r="N55" s="4"/>
      <c r="O55" s="5">
        <f t="shared" si="7"/>
        <v>2259.81</v>
      </c>
    </row>
    <row r="56" spans="1:15" x14ac:dyDescent="0.3">
      <c r="A56" s="3" t="s">
        <v>64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>
        <f>350.16</f>
        <v>350.16</v>
      </c>
      <c r="O56" s="5">
        <f t="shared" si="7"/>
        <v>350.16</v>
      </c>
    </row>
    <row r="57" spans="1:15" x14ac:dyDescent="0.3">
      <c r="A57" s="3" t="s">
        <v>65</v>
      </c>
      <c r="B57" s="5">
        <f>1925</f>
        <v>1925</v>
      </c>
      <c r="C57" s="4"/>
      <c r="D57" s="4"/>
      <c r="E57" s="4"/>
      <c r="F57" s="4"/>
      <c r="G57" s="5">
        <f>4921.5</f>
        <v>4921.5</v>
      </c>
      <c r="H57" s="4"/>
      <c r="I57" s="4"/>
      <c r="J57" s="4"/>
      <c r="K57" s="5">
        <f>13361.5</f>
        <v>13361.5</v>
      </c>
      <c r="L57" s="4"/>
      <c r="M57" s="5">
        <f>200</f>
        <v>200</v>
      </c>
      <c r="N57" s="4"/>
      <c r="O57" s="5">
        <f t="shared" si="7"/>
        <v>20408</v>
      </c>
    </row>
    <row r="58" spans="1:15" x14ac:dyDescent="0.3">
      <c r="A58" s="3" t="s">
        <v>66</v>
      </c>
      <c r="B58" s="5">
        <f>625</f>
        <v>625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5">
        <f t="shared" si="7"/>
        <v>625</v>
      </c>
    </row>
    <row r="59" spans="1:15" x14ac:dyDescent="0.3">
      <c r="A59" s="3" t="s">
        <v>67</v>
      </c>
      <c r="B59" s="6">
        <f t="shared" ref="B59:N59" si="15">((((B54)+(B55))+(B56))+(B57))+(B58)</f>
        <v>2550</v>
      </c>
      <c r="C59" s="6">
        <f t="shared" si="15"/>
        <v>0</v>
      </c>
      <c r="D59" s="6">
        <f t="shared" si="15"/>
        <v>85</v>
      </c>
      <c r="E59" s="6">
        <f t="shared" si="15"/>
        <v>674.78</v>
      </c>
      <c r="F59" s="6">
        <f t="shared" si="15"/>
        <v>1350</v>
      </c>
      <c r="G59" s="6">
        <f t="shared" si="15"/>
        <v>4921.5</v>
      </c>
      <c r="H59" s="6">
        <f t="shared" si="15"/>
        <v>150.03</v>
      </c>
      <c r="I59" s="6">
        <f t="shared" si="15"/>
        <v>0</v>
      </c>
      <c r="J59" s="6">
        <f t="shared" si="15"/>
        <v>0</v>
      </c>
      <c r="K59" s="6">
        <f t="shared" si="15"/>
        <v>13361.5</v>
      </c>
      <c r="L59" s="6">
        <f t="shared" si="15"/>
        <v>0</v>
      </c>
      <c r="M59" s="6">
        <f t="shared" si="15"/>
        <v>200</v>
      </c>
      <c r="N59" s="6">
        <f t="shared" si="15"/>
        <v>350.16</v>
      </c>
      <c r="O59" s="6">
        <f t="shared" si="7"/>
        <v>23642.969999999998</v>
      </c>
    </row>
    <row r="60" spans="1:15" x14ac:dyDescent="0.3">
      <c r="A60" s="3" t="s">
        <v>68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5">
        <f t="shared" si="7"/>
        <v>0</v>
      </c>
    </row>
    <row r="61" spans="1:15" x14ac:dyDescent="0.3">
      <c r="A61" s="3" t="s">
        <v>69</v>
      </c>
      <c r="B61" s="4"/>
      <c r="C61" s="4"/>
      <c r="D61" s="4"/>
      <c r="E61" s="4"/>
      <c r="F61" s="5">
        <f>20</f>
        <v>20</v>
      </c>
      <c r="G61" s="4"/>
      <c r="H61" s="4"/>
      <c r="I61" s="4"/>
      <c r="J61" s="5">
        <f>300</f>
        <v>300</v>
      </c>
      <c r="K61" s="5">
        <f>780</f>
        <v>780</v>
      </c>
      <c r="L61" s="4"/>
      <c r="M61" s="4"/>
      <c r="N61" s="4"/>
      <c r="O61" s="5">
        <f t="shared" si="7"/>
        <v>1100</v>
      </c>
    </row>
    <row r="62" spans="1:15" x14ac:dyDescent="0.3">
      <c r="A62" s="3" t="s">
        <v>70</v>
      </c>
      <c r="B62" s="6">
        <f t="shared" ref="B62:N62" si="16">(B60)+(B61)</f>
        <v>0</v>
      </c>
      <c r="C62" s="6">
        <f t="shared" si="16"/>
        <v>0</v>
      </c>
      <c r="D62" s="6">
        <f t="shared" si="16"/>
        <v>0</v>
      </c>
      <c r="E62" s="6">
        <f t="shared" si="16"/>
        <v>0</v>
      </c>
      <c r="F62" s="6">
        <f t="shared" si="16"/>
        <v>20</v>
      </c>
      <c r="G62" s="6">
        <f t="shared" si="16"/>
        <v>0</v>
      </c>
      <c r="H62" s="6">
        <f t="shared" si="16"/>
        <v>0</v>
      </c>
      <c r="I62" s="6">
        <f t="shared" si="16"/>
        <v>0</v>
      </c>
      <c r="J62" s="6">
        <f t="shared" si="16"/>
        <v>300</v>
      </c>
      <c r="K62" s="6">
        <f t="shared" si="16"/>
        <v>780</v>
      </c>
      <c r="L62" s="6">
        <f t="shared" si="16"/>
        <v>0</v>
      </c>
      <c r="M62" s="6">
        <f t="shared" si="16"/>
        <v>0</v>
      </c>
      <c r="N62" s="6">
        <f t="shared" si="16"/>
        <v>0</v>
      </c>
      <c r="O62" s="6">
        <f t="shared" si="7"/>
        <v>1100</v>
      </c>
    </row>
    <row r="63" spans="1:15" x14ac:dyDescent="0.3">
      <c r="A63" s="3" t="s">
        <v>71</v>
      </c>
      <c r="B63" s="4"/>
      <c r="C63" s="4"/>
      <c r="D63" s="4"/>
      <c r="E63" s="4"/>
      <c r="F63" s="4"/>
      <c r="G63" s="5">
        <f>2919.11</f>
        <v>2919.11</v>
      </c>
      <c r="H63" s="4"/>
      <c r="I63" s="4"/>
      <c r="J63" s="4"/>
      <c r="K63" s="5">
        <f>74</f>
        <v>74</v>
      </c>
      <c r="L63" s="4"/>
      <c r="M63" s="5">
        <f>252</f>
        <v>252</v>
      </c>
      <c r="N63" s="4"/>
      <c r="O63" s="5">
        <f t="shared" si="7"/>
        <v>3245.11</v>
      </c>
    </row>
    <row r="64" spans="1:15" x14ac:dyDescent="0.3">
      <c r="A64" s="3" t="s">
        <v>72</v>
      </c>
      <c r="B64" s="6">
        <f t="shared" ref="B64:N64" si="17">(((((((B32)+(B35))+(B39))+(B49))+(B53))+(B59))+(B62))+(B63)</f>
        <v>4200</v>
      </c>
      <c r="C64" s="6">
        <f t="shared" si="17"/>
        <v>0</v>
      </c>
      <c r="D64" s="6">
        <f t="shared" si="17"/>
        <v>7504</v>
      </c>
      <c r="E64" s="6">
        <f t="shared" si="17"/>
        <v>7424.78</v>
      </c>
      <c r="F64" s="6">
        <f t="shared" si="17"/>
        <v>3200</v>
      </c>
      <c r="G64" s="6">
        <f t="shared" si="17"/>
        <v>27471.33</v>
      </c>
      <c r="H64" s="6">
        <f t="shared" si="17"/>
        <v>735.84999999999991</v>
      </c>
      <c r="I64" s="6">
        <f t="shared" si="17"/>
        <v>0</v>
      </c>
      <c r="J64" s="6">
        <f t="shared" si="17"/>
        <v>570</v>
      </c>
      <c r="K64" s="6">
        <f t="shared" si="17"/>
        <v>14215.5</v>
      </c>
      <c r="L64" s="6">
        <f t="shared" si="17"/>
        <v>0</v>
      </c>
      <c r="M64" s="6">
        <f t="shared" si="17"/>
        <v>452</v>
      </c>
      <c r="N64" s="6">
        <f t="shared" si="17"/>
        <v>3427.06</v>
      </c>
      <c r="O64" s="6">
        <f t="shared" si="7"/>
        <v>69200.51999999999</v>
      </c>
    </row>
    <row r="65" spans="1:15" x14ac:dyDescent="0.3">
      <c r="A65" s="3" t="s">
        <v>73</v>
      </c>
      <c r="B65" s="6">
        <f t="shared" ref="B65:N65" si="18">(B27)-(B64)</f>
        <v>11695.29</v>
      </c>
      <c r="C65" s="6">
        <f t="shared" si="18"/>
        <v>292</v>
      </c>
      <c r="D65" s="6">
        <f t="shared" si="18"/>
        <v>-2202</v>
      </c>
      <c r="E65" s="6">
        <f t="shared" si="18"/>
        <v>-7424.78</v>
      </c>
      <c r="F65" s="6">
        <f t="shared" si="18"/>
        <v>7668.6</v>
      </c>
      <c r="G65" s="6">
        <f t="shared" si="18"/>
        <v>-27171.33</v>
      </c>
      <c r="H65" s="6">
        <f t="shared" si="18"/>
        <v>287.75000000000011</v>
      </c>
      <c r="I65" s="6">
        <f t="shared" si="18"/>
        <v>622.29999999999995</v>
      </c>
      <c r="J65" s="6">
        <f t="shared" si="18"/>
        <v>-570</v>
      </c>
      <c r="K65" s="6">
        <f t="shared" si="18"/>
        <v>-12094.51</v>
      </c>
      <c r="L65" s="6">
        <f t="shared" si="18"/>
        <v>4550</v>
      </c>
      <c r="M65" s="6">
        <f t="shared" si="18"/>
        <v>6855</v>
      </c>
      <c r="N65" s="6">
        <f t="shared" si="18"/>
        <v>3476.4</v>
      </c>
      <c r="O65" s="6">
        <f t="shared" si="7"/>
        <v>-14015.28</v>
      </c>
    </row>
    <row r="66" spans="1:15" x14ac:dyDescent="0.3">
      <c r="A66" s="3" t="s">
        <v>74</v>
      </c>
      <c r="B66" s="7">
        <f t="shared" ref="B66:N66" si="19">(B65)+(0)</f>
        <v>11695.29</v>
      </c>
      <c r="C66" s="7">
        <f t="shared" si="19"/>
        <v>292</v>
      </c>
      <c r="D66" s="7">
        <f t="shared" si="19"/>
        <v>-2202</v>
      </c>
      <c r="E66" s="7">
        <f t="shared" si="19"/>
        <v>-7424.78</v>
      </c>
      <c r="F66" s="7">
        <f t="shared" si="19"/>
        <v>7668.6</v>
      </c>
      <c r="G66" s="7">
        <f t="shared" si="19"/>
        <v>-27171.33</v>
      </c>
      <c r="H66" s="7">
        <f t="shared" si="19"/>
        <v>287.75000000000011</v>
      </c>
      <c r="I66" s="7">
        <f t="shared" si="19"/>
        <v>622.29999999999995</v>
      </c>
      <c r="J66" s="7">
        <f t="shared" si="19"/>
        <v>-570</v>
      </c>
      <c r="K66" s="7">
        <f t="shared" si="19"/>
        <v>-12094.51</v>
      </c>
      <c r="L66" s="7">
        <f t="shared" si="19"/>
        <v>4550</v>
      </c>
      <c r="M66" s="7">
        <f t="shared" si="19"/>
        <v>6855</v>
      </c>
      <c r="N66" s="7">
        <f t="shared" si="19"/>
        <v>3476.4</v>
      </c>
      <c r="O66" s="7">
        <f t="shared" si="7"/>
        <v>-14015.28</v>
      </c>
    </row>
    <row r="67" spans="1:15" x14ac:dyDescent="0.3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70" spans="1:15" x14ac:dyDescent="0.3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</sheetData>
  <mergeCells count="4">
    <mergeCell ref="A70:O70"/>
    <mergeCell ref="A1:O1"/>
    <mergeCell ref="A2:O2"/>
    <mergeCell ref="A3:O3"/>
  </mergeCell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Profit and Loss by Class</vt:lpstr>
      <vt:lpstr>'Profit and Loss by Class'!Print_Area</vt:lpstr>
      <vt:lpstr>'Profit and Loss by Class'!Print_Titles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nlheureux23@gmail.com</cp:lastModifiedBy>
  <cp:lastPrinted>2024-02-12T20:40:50Z</cp:lastPrinted>
  <dcterms:created xsi:type="dcterms:W3CDTF">2024-02-12T20:39:10Z</dcterms:created>
  <dcterms:modified xsi:type="dcterms:W3CDTF">2024-02-12T20:41:11Z</dcterms:modified>
</cp:coreProperties>
</file>