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mapo Boosters\"/>
    </mc:Choice>
  </mc:AlternateContent>
  <xr:revisionPtr revIDLastSave="0" documentId="8_{06DA09D9-3736-4331-9332-A92B2609B17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fit and Loss by Class" sheetId="1" r:id="rId1"/>
  </sheets>
  <definedNames>
    <definedName name="_xlnm.Print_Titles" localSheetId="0">'Profit and Loss by Class'!$1:$5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7" i="1" l="1"/>
  <c r="M67" i="1"/>
  <c r="L67" i="1"/>
  <c r="K67" i="1"/>
  <c r="I67" i="1"/>
  <c r="H67" i="1"/>
  <c r="G67" i="1"/>
  <c r="F67" i="1"/>
  <c r="E67" i="1"/>
  <c r="D67" i="1"/>
  <c r="C67" i="1"/>
  <c r="B67" i="1"/>
  <c r="N66" i="1"/>
  <c r="N67" i="1" s="1"/>
  <c r="J66" i="1"/>
  <c r="P66" i="1" s="1"/>
  <c r="P65" i="1"/>
  <c r="K64" i="1"/>
  <c r="D64" i="1"/>
  <c r="P64" i="1" s="1"/>
  <c r="O63" i="1"/>
  <c r="N63" i="1"/>
  <c r="L63" i="1"/>
  <c r="K63" i="1"/>
  <c r="J63" i="1"/>
  <c r="I63" i="1"/>
  <c r="F63" i="1"/>
  <c r="E63" i="1"/>
  <c r="D63" i="1"/>
  <c r="C63" i="1"/>
  <c r="B63" i="1"/>
  <c r="M62" i="1"/>
  <c r="M63" i="1" s="1"/>
  <c r="H62" i="1"/>
  <c r="H63" i="1" s="1"/>
  <c r="G62" i="1"/>
  <c r="G63" i="1" s="1"/>
  <c r="C62" i="1"/>
  <c r="P61" i="1"/>
  <c r="O60" i="1"/>
  <c r="N60" i="1"/>
  <c r="M60" i="1"/>
  <c r="L60" i="1"/>
  <c r="K60" i="1"/>
  <c r="J60" i="1"/>
  <c r="G60" i="1"/>
  <c r="E60" i="1"/>
  <c r="D60" i="1"/>
  <c r="C60" i="1"/>
  <c r="M59" i="1"/>
  <c r="H59" i="1"/>
  <c r="H60" i="1" s="1"/>
  <c r="F59" i="1"/>
  <c r="F60" i="1" s="1"/>
  <c r="B59" i="1"/>
  <c r="B60" i="1" s="1"/>
  <c r="I58" i="1"/>
  <c r="P58" i="1" s="1"/>
  <c r="M57" i="1"/>
  <c r="P57" i="1" s="1"/>
  <c r="M56" i="1"/>
  <c r="I56" i="1"/>
  <c r="P56" i="1" s="1"/>
  <c r="I55" i="1"/>
  <c r="P55" i="1" s="1"/>
  <c r="P54" i="1"/>
  <c r="O53" i="1"/>
  <c r="N53" i="1"/>
  <c r="J53" i="1"/>
  <c r="I53" i="1"/>
  <c r="H53" i="1"/>
  <c r="F53" i="1"/>
  <c r="D53" i="1"/>
  <c r="C53" i="1"/>
  <c r="B53" i="1"/>
  <c r="M52" i="1"/>
  <c r="P52" i="1" s="1"/>
  <c r="G51" i="1"/>
  <c r="G53" i="1" s="1"/>
  <c r="L50" i="1"/>
  <c r="L53" i="1" s="1"/>
  <c r="K50" i="1"/>
  <c r="K53" i="1" s="1"/>
  <c r="E50" i="1"/>
  <c r="E53" i="1" s="1"/>
  <c r="B50" i="1"/>
  <c r="P49" i="1"/>
  <c r="M48" i="1"/>
  <c r="K48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C46" i="1"/>
  <c r="P46" i="1" s="1"/>
  <c r="P45" i="1"/>
  <c r="O44" i="1"/>
  <c r="O48" i="1" s="1"/>
  <c r="N44" i="1"/>
  <c r="M44" i="1"/>
  <c r="L44" i="1"/>
  <c r="L48" i="1" s="1"/>
  <c r="K44" i="1"/>
  <c r="J44" i="1"/>
  <c r="H44" i="1"/>
  <c r="H48" i="1" s="1"/>
  <c r="G44" i="1"/>
  <c r="G48" i="1" s="1"/>
  <c r="F44" i="1"/>
  <c r="F48" i="1" s="1"/>
  <c r="E44" i="1"/>
  <c r="E48" i="1" s="1"/>
  <c r="D44" i="1"/>
  <c r="D48" i="1" s="1"/>
  <c r="C44" i="1"/>
  <c r="B44" i="1"/>
  <c r="I43" i="1"/>
  <c r="I44" i="1" s="1"/>
  <c r="P42" i="1"/>
  <c r="I41" i="1"/>
  <c r="I48" i="1" s="1"/>
  <c r="P40" i="1"/>
  <c r="O39" i="1"/>
  <c r="N39" i="1"/>
  <c r="M39" i="1"/>
  <c r="L39" i="1"/>
  <c r="K39" i="1"/>
  <c r="J39" i="1"/>
  <c r="I39" i="1"/>
  <c r="H39" i="1"/>
  <c r="F39" i="1"/>
  <c r="E39" i="1"/>
  <c r="D39" i="1"/>
  <c r="B39" i="1"/>
  <c r="G38" i="1"/>
  <c r="P38" i="1" s="1"/>
  <c r="G37" i="1"/>
  <c r="P37" i="1" s="1"/>
  <c r="G36" i="1"/>
  <c r="G39" i="1" s="1"/>
  <c r="C36" i="1"/>
  <c r="C39" i="1" s="1"/>
  <c r="P35" i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N33" i="1"/>
  <c r="N34" i="1" s="1"/>
  <c r="I33" i="1"/>
  <c r="P32" i="1"/>
  <c r="O31" i="1"/>
  <c r="N31" i="1"/>
  <c r="M31" i="1"/>
  <c r="L31" i="1"/>
  <c r="K31" i="1"/>
  <c r="H31" i="1"/>
  <c r="G31" i="1"/>
  <c r="F31" i="1"/>
  <c r="E31" i="1"/>
  <c r="D31" i="1"/>
  <c r="C31" i="1"/>
  <c r="B31" i="1"/>
  <c r="J30" i="1"/>
  <c r="J31" i="1" s="1"/>
  <c r="I30" i="1"/>
  <c r="C30" i="1"/>
  <c r="I29" i="1"/>
  <c r="I31" i="1" s="1"/>
  <c r="P28" i="1"/>
  <c r="O24" i="1"/>
  <c r="L24" i="1"/>
  <c r="K24" i="1"/>
  <c r="I24" i="1"/>
  <c r="H24" i="1"/>
  <c r="F24" i="1"/>
  <c r="E24" i="1"/>
  <c r="D24" i="1"/>
  <c r="C24" i="1"/>
  <c r="B24" i="1"/>
  <c r="N23" i="1"/>
  <c r="N24" i="1" s="1"/>
  <c r="M23" i="1"/>
  <c r="M24" i="1" s="1"/>
  <c r="J23" i="1"/>
  <c r="J24" i="1" s="1"/>
  <c r="G22" i="1"/>
  <c r="P22" i="1" s="1"/>
  <c r="P21" i="1"/>
  <c r="O20" i="1"/>
  <c r="N20" i="1"/>
  <c r="M20" i="1"/>
  <c r="L20" i="1"/>
  <c r="K20" i="1"/>
  <c r="J20" i="1"/>
  <c r="H20" i="1"/>
  <c r="F20" i="1"/>
  <c r="E20" i="1"/>
  <c r="D20" i="1"/>
  <c r="C20" i="1"/>
  <c r="B20" i="1"/>
  <c r="O19" i="1"/>
  <c r="G19" i="1"/>
  <c r="I18" i="1"/>
  <c r="G18" i="1"/>
  <c r="N17" i="1"/>
  <c r="P17" i="1" s="1"/>
  <c r="P16" i="1"/>
  <c r="O15" i="1"/>
  <c r="N15" i="1"/>
  <c r="M15" i="1"/>
  <c r="L15" i="1"/>
  <c r="K15" i="1"/>
  <c r="J15" i="1"/>
  <c r="H15" i="1"/>
  <c r="G15" i="1"/>
  <c r="F15" i="1"/>
  <c r="E15" i="1"/>
  <c r="D15" i="1"/>
  <c r="C15" i="1"/>
  <c r="B15" i="1"/>
  <c r="B25" i="1" s="1"/>
  <c r="B26" i="1" s="1"/>
  <c r="I14" i="1"/>
  <c r="I15" i="1" s="1"/>
  <c r="P13" i="1"/>
  <c r="O12" i="1"/>
  <c r="O25" i="1" s="1"/>
  <c r="O26" i="1" s="1"/>
  <c r="K12" i="1"/>
  <c r="K25" i="1" s="1"/>
  <c r="K26" i="1" s="1"/>
  <c r="J12" i="1"/>
  <c r="H12" i="1"/>
  <c r="H25" i="1" s="1"/>
  <c r="H26" i="1" s="1"/>
  <c r="G12" i="1"/>
  <c r="F12" i="1"/>
  <c r="F25" i="1" s="1"/>
  <c r="F26" i="1" s="1"/>
  <c r="D12" i="1"/>
  <c r="C12" i="1"/>
  <c r="C25" i="1" s="1"/>
  <c r="C26" i="1" s="1"/>
  <c r="B12" i="1"/>
  <c r="O11" i="1"/>
  <c r="P11" i="1" s="1"/>
  <c r="N10" i="1"/>
  <c r="M10" i="1"/>
  <c r="M12" i="1" s="1"/>
  <c r="L10" i="1"/>
  <c r="L12" i="1" s="1"/>
  <c r="E10" i="1"/>
  <c r="E12" i="1" s="1"/>
  <c r="I9" i="1"/>
  <c r="I12" i="1" s="1"/>
  <c r="N8" i="1"/>
  <c r="P8" i="1" s="1"/>
  <c r="P7" i="1"/>
  <c r="J25" i="1" l="1"/>
  <c r="J26" i="1" s="1"/>
  <c r="J67" i="1"/>
  <c r="G20" i="1"/>
  <c r="J48" i="1"/>
  <c r="J68" i="1" s="1"/>
  <c r="M53" i="1"/>
  <c r="P10" i="1"/>
  <c r="C47" i="1"/>
  <c r="C48" i="1" s="1"/>
  <c r="C68" i="1" s="1"/>
  <c r="C69" i="1" s="1"/>
  <c r="C70" i="1" s="1"/>
  <c r="P15" i="1"/>
  <c r="P30" i="1"/>
  <c r="G68" i="1"/>
  <c r="P18" i="1"/>
  <c r="L25" i="1"/>
  <c r="L26" i="1" s="1"/>
  <c r="G24" i="1"/>
  <c r="B48" i="1"/>
  <c r="B68" i="1" s="1"/>
  <c r="D25" i="1"/>
  <c r="D26" i="1" s="1"/>
  <c r="D69" i="1" s="1"/>
  <c r="D70" i="1" s="1"/>
  <c r="P34" i="1"/>
  <c r="N48" i="1"/>
  <c r="L68" i="1"/>
  <c r="M25" i="1"/>
  <c r="M26" i="1" s="1"/>
  <c r="G25" i="1"/>
  <c r="G26" i="1" s="1"/>
  <c r="G69" i="1" s="1"/>
  <c r="G70" i="1" s="1"/>
  <c r="D68" i="1"/>
  <c r="M68" i="1"/>
  <c r="P67" i="1"/>
  <c r="E25" i="1"/>
  <c r="E26" i="1" s="1"/>
  <c r="P31" i="1"/>
  <c r="K68" i="1"/>
  <c r="K69" i="1" s="1"/>
  <c r="K70" i="1" s="1"/>
  <c r="L69" i="1"/>
  <c r="L70" i="1" s="1"/>
  <c r="P24" i="1"/>
  <c r="E68" i="1"/>
  <c r="N68" i="1"/>
  <c r="H68" i="1"/>
  <c r="H69" i="1" s="1"/>
  <c r="H70" i="1" s="1"/>
  <c r="F68" i="1"/>
  <c r="F69" i="1" s="1"/>
  <c r="F70" i="1" s="1"/>
  <c r="O68" i="1"/>
  <c r="O69" i="1" s="1"/>
  <c r="O70" i="1" s="1"/>
  <c r="P53" i="1"/>
  <c r="P60" i="1"/>
  <c r="P63" i="1"/>
  <c r="P62" i="1"/>
  <c r="P9" i="1"/>
  <c r="P50" i="1"/>
  <c r="P14" i="1"/>
  <c r="P19" i="1"/>
  <c r="I20" i="1"/>
  <c r="I25" i="1" s="1"/>
  <c r="P36" i="1"/>
  <c r="P43" i="1"/>
  <c r="P51" i="1"/>
  <c r="P59" i="1"/>
  <c r="I60" i="1"/>
  <c r="I68" i="1" s="1"/>
  <c r="P33" i="1"/>
  <c r="P23" i="1"/>
  <c r="P29" i="1"/>
  <c r="P41" i="1"/>
  <c r="P44" i="1"/>
  <c r="N12" i="1"/>
  <c r="N25" i="1" s="1"/>
  <c r="N26" i="1" s="1"/>
  <c r="P39" i="1"/>
  <c r="P47" i="1" l="1"/>
  <c r="P48" i="1"/>
  <c r="E69" i="1"/>
  <c r="E70" i="1" s="1"/>
  <c r="P12" i="1"/>
  <c r="J69" i="1"/>
  <c r="J70" i="1" s="1"/>
  <c r="I26" i="1"/>
  <c r="I69" i="1" s="1"/>
  <c r="I70" i="1" s="1"/>
  <c r="P25" i="1"/>
  <c r="P20" i="1"/>
  <c r="P68" i="1"/>
  <c r="M69" i="1"/>
  <c r="M70" i="1" s="1"/>
  <c r="B69" i="1"/>
  <c r="N69" i="1"/>
  <c r="N70" i="1" s="1"/>
  <c r="P26" i="1" l="1"/>
  <c r="B70" i="1"/>
  <c r="P70" i="1" s="1"/>
  <c r="P69" i="1"/>
</calcChain>
</file>

<file path=xl/sharedStrings.xml><?xml version="1.0" encoding="utf-8"?>
<sst xmlns="http://schemas.openxmlformats.org/spreadsheetml/2006/main" count="83" uniqueCount="83">
  <si>
    <t>Baseball Boosters</t>
  </si>
  <si>
    <t>Boys Basketball Boosters</t>
  </si>
  <si>
    <t>Boys Fencing</t>
  </si>
  <si>
    <t>Boys Lacrosse Boosters</t>
  </si>
  <si>
    <t>Boys Soccer</t>
  </si>
  <si>
    <t>Cheerleading Boosters</t>
  </si>
  <si>
    <t>Football Boosters</t>
  </si>
  <si>
    <t>General Fund</t>
  </si>
  <si>
    <t>Girls Basketball Boosters</t>
  </si>
  <si>
    <t>Girls Fencing Boosters</t>
  </si>
  <si>
    <t>Girls Lacrosse Boosters</t>
  </si>
  <si>
    <t>Hockey Boosters</t>
  </si>
  <si>
    <t>Softball</t>
  </si>
  <si>
    <t>Wrestling Boosters</t>
  </si>
  <si>
    <t>TOTAL</t>
  </si>
  <si>
    <t>Income</t>
  </si>
  <si>
    <t>Total Income</t>
  </si>
  <si>
    <t>Gross Profit</t>
  </si>
  <si>
    <t>Expenses</t>
  </si>
  <si>
    <t>Total Expenses</t>
  </si>
  <si>
    <t>Net Operating Income</t>
  </si>
  <si>
    <t>Net Income</t>
  </si>
  <si>
    <t>Ramapo Athletic Boosters Inc.</t>
  </si>
  <si>
    <t>Profit and Loss by Class</t>
  </si>
  <si>
    <t>February 2024</t>
  </si>
  <si>
    <t xml:space="preserve">   Total Cost of Conces Stand Invent</t>
  </si>
  <si>
    <t xml:space="preserve">   Cost of Sales - Inventory Sales</t>
  </si>
  <si>
    <t xml:space="preserve">   Total Cost of Sales - Invent Sales</t>
  </si>
  <si>
    <t xml:space="preserve">      Total Website related expenses</t>
  </si>
  <si>
    <t xml:space="preserve">      Total Outside Contract Services</t>
  </si>
  <si>
    <t xml:space="preserve">   Total Facilities and Equipment</t>
  </si>
  <si>
    <t xml:space="preserve">   Total Other Types of Expenses</t>
  </si>
  <si>
    <t xml:space="preserve">   Direct Public Support</t>
  </si>
  <si>
    <t xml:space="preserve">      Individual Contributions</t>
  </si>
  <si>
    <t xml:space="preserve">      General Membership</t>
  </si>
  <si>
    <t xml:space="preserve">      Team Specific Dues</t>
  </si>
  <si>
    <t xml:space="preserve">      Individ, Business Contrib</t>
  </si>
  <si>
    <t xml:space="preserve">   Total Direct Public Support</t>
  </si>
  <si>
    <t xml:space="preserve">   Investments</t>
  </si>
  <si>
    <t xml:space="preserve">      Interest-Savings, ST CD</t>
  </si>
  <si>
    <t xml:space="preserve">   Total Investments</t>
  </si>
  <si>
    <t xml:space="preserve">   Other Types of Income</t>
  </si>
  <si>
    <t xml:space="preserve">      Sponsorship Revenue</t>
  </si>
  <si>
    <t xml:space="preserve">      Merchandise Sales-Apparel</t>
  </si>
  <si>
    <t xml:space="preserve">      Merch Sales-Team Conces</t>
  </si>
  <si>
    <t xml:space="preserve">   Total Other Types of Income</t>
  </si>
  <si>
    <t xml:space="preserve">   Special Events Income</t>
  </si>
  <si>
    <t xml:space="preserve">      Tournament Fee Revenue</t>
  </si>
  <si>
    <t xml:space="preserve">      Other Fundraisers</t>
  </si>
  <si>
    <t xml:space="preserve">   Total Special Events Income</t>
  </si>
  <si>
    <t xml:space="preserve">   Cost of Concess Stand Invent</t>
  </si>
  <si>
    <t xml:space="preserve">      Cost of Sales-Conces Food</t>
  </si>
  <si>
    <t xml:space="preserve">      Consession Revenue Alloc</t>
  </si>
  <si>
    <t xml:space="preserve">      Cost of Sales-Fundraising</t>
  </si>
  <si>
    <t xml:space="preserve">   Business Expenses</t>
  </si>
  <si>
    <t xml:space="preserve">      Team Dinner Catering</t>
  </si>
  <si>
    <t xml:space="preserve">      Competitions</t>
  </si>
  <si>
    <t xml:space="preserve">      Tournaments</t>
  </si>
  <si>
    <t xml:space="preserve">   Total Business Expenses</t>
  </si>
  <si>
    <t xml:space="preserve">   Contract Services</t>
  </si>
  <si>
    <t xml:space="preserve">      Accounting Fees</t>
  </si>
  <si>
    <t xml:space="preserve">      Website related expenses</t>
  </si>
  <si>
    <t xml:space="preserve">         Website maintenance fees</t>
  </si>
  <si>
    <t xml:space="preserve">      Outside Contract Services</t>
  </si>
  <si>
    <t xml:space="preserve">         Coaching Tools</t>
  </si>
  <si>
    <t xml:space="preserve">   Total Contract Services</t>
  </si>
  <si>
    <t xml:space="preserve">   Facilities and Equipment</t>
  </si>
  <si>
    <t xml:space="preserve">      Team Equipment</t>
  </si>
  <si>
    <t xml:space="preserve">      Equip Rental and Maintenance</t>
  </si>
  <si>
    <t xml:space="preserve">      Facilities Rental, Park, Util</t>
  </si>
  <si>
    <t xml:space="preserve">   Operations</t>
  </si>
  <si>
    <t xml:space="preserve">      Postage, Mailing Service</t>
  </si>
  <si>
    <t xml:space="preserve">      Printing and Copying</t>
  </si>
  <si>
    <t xml:space="preserve">      Team Supplies</t>
  </si>
  <si>
    <t xml:space="preserve">      General Supplies</t>
  </si>
  <si>
    <t xml:space="preserve">      Uniforms &amp; Practice Apparel</t>
  </si>
  <si>
    <t xml:space="preserve">   Total Operations</t>
  </si>
  <si>
    <t xml:space="preserve">   Other Types of Expenses</t>
  </si>
  <si>
    <t xml:space="preserve">      Other Costs</t>
  </si>
  <si>
    <t xml:space="preserve">   Senior night</t>
  </si>
  <si>
    <t xml:space="preserve">   Travel and Meetings</t>
  </si>
  <si>
    <t xml:space="preserve">      Travel</t>
  </si>
  <si>
    <t xml:space="preserve">   Total Travel and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</si>
</sst>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5" x14ac:knownFonts="1"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5" fontId="3" fillId="0" borderId="2" xfId="0" applyNumberFormat="1" applyFont="1" applyBorder="1" applyAlignment="1">
      <alignment horizontal="right" wrapText="1"/>
    </xf>
    <xf numFmtId="165" fontId="3" fillId="0" borderId="3" xfId="0" applyNumberFormat="1" applyFont="1" applyBorder="1" applyAlignment="1">
      <alignment horizontal="right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2"/>
  <sheetViews>
    <sheetView tabSelected="1" workbookViewId="0">
      <selection activeCell="A2" sqref="A2:P2"/>
    </sheetView>
  </sheetViews>
  <sheetFormatPr defaultRowHeight="14.4" x14ac:dyDescent="0.3"/>
  <cols>
    <col min="1" max="1" width="35.6640625" customWidth="1"/>
    <col min="2" max="2" width="13.21875" customWidth="1"/>
    <col min="3" max="3" width="14.21875" customWidth="1"/>
    <col min="4" max="4" width="14.77734375" customWidth="1"/>
    <col min="5" max="5" width="14.21875" customWidth="1"/>
    <col min="6" max="6" width="13.5546875" customWidth="1"/>
    <col min="7" max="7" width="15" customWidth="1"/>
    <col min="8" max="8" width="14.44140625" customWidth="1"/>
    <col min="9" max="9" width="12.88671875" customWidth="1"/>
    <col min="10" max="10" width="13.33203125" customWidth="1"/>
    <col min="11" max="11" width="12.6640625" customWidth="1"/>
    <col min="12" max="12" width="13.44140625" customWidth="1"/>
    <col min="13" max="13" width="15.109375" customWidth="1"/>
    <col min="14" max="14" width="15" customWidth="1"/>
    <col min="15" max="15" width="15.21875" customWidth="1"/>
    <col min="16" max="16" width="14.77734375" customWidth="1"/>
  </cols>
  <sheetData>
    <row r="1" spans="1:16" ht="17.399999999999999" x14ac:dyDescent="0.3">
      <c r="A1" s="2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399999999999999" x14ac:dyDescent="0.3">
      <c r="A2" s="2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6" x14ac:dyDescent="0.3">
      <c r="A3" s="11" t="s">
        <v>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5" spans="1:16" ht="62.4" x14ac:dyDescent="0.3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</row>
    <row r="6" spans="1:16" ht="15.6" x14ac:dyDescent="0.3">
      <c r="A6" s="5" t="s">
        <v>15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.6" x14ac:dyDescent="0.3">
      <c r="A7" s="5" t="s">
        <v>32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>
        <f t="shared" ref="P7:P26" si="0">(((((((((((((B7)+(C7))+(D7))+(E7))+(F7))+(G7))+(H7))+(I7))+(J7))+(K7))+(L7))+(M7))+(N7))+(O7)</f>
        <v>0</v>
      </c>
    </row>
    <row r="8" spans="1:16" ht="15.6" x14ac:dyDescent="0.3">
      <c r="A8" s="5" t="s">
        <v>33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>
        <f>960.05</f>
        <v>960.05</v>
      </c>
      <c r="O8" s="6"/>
      <c r="P8" s="7">
        <f t="shared" si="0"/>
        <v>960.05</v>
      </c>
    </row>
    <row r="9" spans="1:16" ht="15.6" x14ac:dyDescent="0.3">
      <c r="A9" s="5" t="s">
        <v>34</v>
      </c>
      <c r="B9" s="6"/>
      <c r="C9" s="6"/>
      <c r="D9" s="6"/>
      <c r="E9" s="6"/>
      <c r="F9" s="6"/>
      <c r="G9" s="6"/>
      <c r="H9" s="6"/>
      <c r="I9" s="7">
        <f>1530.39</f>
        <v>1530.39</v>
      </c>
      <c r="J9" s="6"/>
      <c r="K9" s="6"/>
      <c r="L9" s="6"/>
      <c r="M9" s="6"/>
      <c r="N9" s="6"/>
      <c r="O9" s="6"/>
      <c r="P9" s="7">
        <f t="shared" si="0"/>
        <v>1530.39</v>
      </c>
    </row>
    <row r="10" spans="1:16" ht="15.6" x14ac:dyDescent="0.3">
      <c r="A10" s="5" t="s">
        <v>35</v>
      </c>
      <c r="B10" s="6"/>
      <c r="C10" s="6"/>
      <c r="D10" s="6"/>
      <c r="E10" s="7">
        <f>13990</f>
        <v>13990</v>
      </c>
      <c r="F10" s="6"/>
      <c r="G10" s="6"/>
      <c r="H10" s="6"/>
      <c r="I10" s="6"/>
      <c r="J10" s="6"/>
      <c r="K10" s="6"/>
      <c r="L10" s="7">
        <f>5650</f>
        <v>5650</v>
      </c>
      <c r="M10" s="7">
        <f>600</f>
        <v>600</v>
      </c>
      <c r="N10" s="7">
        <f>9140</f>
        <v>9140</v>
      </c>
      <c r="O10" s="6"/>
      <c r="P10" s="7">
        <f t="shared" si="0"/>
        <v>29380</v>
      </c>
    </row>
    <row r="11" spans="1:16" ht="15.6" x14ac:dyDescent="0.3">
      <c r="A11" s="5" t="s">
        <v>36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>650</f>
        <v>650</v>
      </c>
      <c r="P11" s="7">
        <f t="shared" si="0"/>
        <v>650</v>
      </c>
    </row>
    <row r="12" spans="1:16" ht="15.6" x14ac:dyDescent="0.3">
      <c r="A12" s="5" t="s">
        <v>37</v>
      </c>
      <c r="B12" s="8">
        <f t="shared" ref="B12:O12" si="1">((((B7)+(B8))+(B9))+(B10))+(B11)</f>
        <v>0</v>
      </c>
      <c r="C12" s="8">
        <f t="shared" si="1"/>
        <v>0</v>
      </c>
      <c r="D12" s="8">
        <f t="shared" si="1"/>
        <v>0</v>
      </c>
      <c r="E12" s="8">
        <f t="shared" si="1"/>
        <v>13990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1530.39</v>
      </c>
      <c r="J12" s="8">
        <f t="shared" si="1"/>
        <v>0</v>
      </c>
      <c r="K12" s="8">
        <f t="shared" si="1"/>
        <v>0</v>
      </c>
      <c r="L12" s="8">
        <f t="shared" si="1"/>
        <v>5650</v>
      </c>
      <c r="M12" s="8">
        <f t="shared" si="1"/>
        <v>600</v>
      </c>
      <c r="N12" s="8">
        <f t="shared" si="1"/>
        <v>10100.049999999999</v>
      </c>
      <c r="O12" s="8">
        <f t="shared" si="1"/>
        <v>650</v>
      </c>
      <c r="P12" s="8">
        <f t="shared" si="0"/>
        <v>32520.44</v>
      </c>
    </row>
    <row r="13" spans="1:16" ht="15.6" x14ac:dyDescent="0.3">
      <c r="A13" s="5" t="s">
        <v>38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>
        <f t="shared" si="0"/>
        <v>0</v>
      </c>
    </row>
    <row r="14" spans="1:16" ht="15.6" x14ac:dyDescent="0.3">
      <c r="A14" s="5" t="s">
        <v>39</v>
      </c>
      <c r="B14" s="6"/>
      <c r="C14" s="6"/>
      <c r="D14" s="6"/>
      <c r="E14" s="6"/>
      <c r="F14" s="6"/>
      <c r="G14" s="6"/>
      <c r="H14" s="6"/>
      <c r="I14" s="7">
        <f>7.31</f>
        <v>7.31</v>
      </c>
      <c r="J14" s="6"/>
      <c r="K14" s="6"/>
      <c r="L14" s="6"/>
      <c r="M14" s="6"/>
      <c r="N14" s="6"/>
      <c r="O14" s="6"/>
      <c r="P14" s="7">
        <f t="shared" si="0"/>
        <v>7.31</v>
      </c>
    </row>
    <row r="15" spans="1:16" ht="15.6" x14ac:dyDescent="0.3">
      <c r="A15" s="5" t="s">
        <v>40</v>
      </c>
      <c r="B15" s="8">
        <f t="shared" ref="B15:O15" si="2">(B13)+(B14)</f>
        <v>0</v>
      </c>
      <c r="C15" s="8">
        <f t="shared" si="2"/>
        <v>0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7.31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2"/>
        <v>0</v>
      </c>
      <c r="O15" s="8">
        <f t="shared" si="2"/>
        <v>0</v>
      </c>
      <c r="P15" s="8">
        <f t="shared" si="0"/>
        <v>7.31</v>
      </c>
    </row>
    <row r="16" spans="1:16" ht="15.6" x14ac:dyDescent="0.3">
      <c r="A16" s="5" t="s">
        <v>41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>
        <f t="shared" si="0"/>
        <v>0</v>
      </c>
    </row>
    <row r="17" spans="1:16" ht="15.6" x14ac:dyDescent="0.3">
      <c r="A17" s="5" t="s">
        <v>42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>100</f>
        <v>100</v>
      </c>
      <c r="O17" s="6"/>
      <c r="P17" s="7">
        <f t="shared" si="0"/>
        <v>100</v>
      </c>
    </row>
    <row r="18" spans="1:16" ht="16.2" customHeight="1" x14ac:dyDescent="0.3">
      <c r="A18" s="5" t="s">
        <v>43</v>
      </c>
      <c r="B18" s="6"/>
      <c r="C18" s="6"/>
      <c r="D18" s="6"/>
      <c r="E18" s="6"/>
      <c r="F18" s="6"/>
      <c r="G18" s="7">
        <f>530</f>
        <v>530</v>
      </c>
      <c r="H18" s="6"/>
      <c r="I18" s="7">
        <f>57.96</f>
        <v>57.96</v>
      </c>
      <c r="J18" s="6"/>
      <c r="K18" s="6"/>
      <c r="L18" s="6"/>
      <c r="M18" s="6"/>
      <c r="N18" s="6"/>
      <c r="O18" s="6"/>
      <c r="P18" s="7">
        <f t="shared" si="0"/>
        <v>587.96</v>
      </c>
    </row>
    <row r="19" spans="1:16" ht="19.8" customHeight="1" x14ac:dyDescent="0.3">
      <c r="A19" s="5" t="s">
        <v>44</v>
      </c>
      <c r="B19" s="6"/>
      <c r="C19" s="6"/>
      <c r="D19" s="6"/>
      <c r="E19" s="6"/>
      <c r="F19" s="6"/>
      <c r="G19" s="7">
        <f>15679</f>
        <v>15679</v>
      </c>
      <c r="H19" s="6"/>
      <c r="I19" s="6"/>
      <c r="J19" s="6"/>
      <c r="K19" s="6"/>
      <c r="L19" s="6"/>
      <c r="M19" s="6"/>
      <c r="N19" s="6"/>
      <c r="O19" s="7">
        <f>656</f>
        <v>656</v>
      </c>
      <c r="P19" s="7">
        <f t="shared" si="0"/>
        <v>16335</v>
      </c>
    </row>
    <row r="20" spans="1:16" ht="19.8" customHeight="1" x14ac:dyDescent="0.3">
      <c r="A20" s="5" t="s">
        <v>45</v>
      </c>
      <c r="B20" s="8">
        <f t="shared" ref="B20:O20" si="3">(((B16)+(B17))+(B18))+(B19)</f>
        <v>0</v>
      </c>
      <c r="C20" s="8">
        <f t="shared" si="3"/>
        <v>0</v>
      </c>
      <c r="D20" s="8">
        <f t="shared" si="3"/>
        <v>0</v>
      </c>
      <c r="E20" s="8">
        <f t="shared" si="3"/>
        <v>0</v>
      </c>
      <c r="F20" s="8">
        <f t="shared" si="3"/>
        <v>0</v>
      </c>
      <c r="G20" s="8">
        <f t="shared" si="3"/>
        <v>16209</v>
      </c>
      <c r="H20" s="8">
        <f t="shared" si="3"/>
        <v>0</v>
      </c>
      <c r="I20" s="8">
        <f t="shared" si="3"/>
        <v>57.96</v>
      </c>
      <c r="J20" s="8">
        <f t="shared" si="3"/>
        <v>0</v>
      </c>
      <c r="K20" s="8">
        <f t="shared" si="3"/>
        <v>0</v>
      </c>
      <c r="L20" s="8">
        <f t="shared" si="3"/>
        <v>0</v>
      </c>
      <c r="M20" s="8">
        <f t="shared" si="3"/>
        <v>0</v>
      </c>
      <c r="N20" s="8">
        <f t="shared" si="3"/>
        <v>100</v>
      </c>
      <c r="O20" s="8">
        <f t="shared" si="3"/>
        <v>656</v>
      </c>
      <c r="P20" s="8">
        <f t="shared" si="0"/>
        <v>17022.96</v>
      </c>
    </row>
    <row r="21" spans="1:16" ht="15.6" x14ac:dyDescent="0.3">
      <c r="A21" s="5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>
        <f t="shared" si="0"/>
        <v>0</v>
      </c>
    </row>
    <row r="22" spans="1:16" ht="15.6" x14ac:dyDescent="0.3">
      <c r="A22" s="5" t="s">
        <v>47</v>
      </c>
      <c r="B22" s="6"/>
      <c r="C22" s="6"/>
      <c r="D22" s="6"/>
      <c r="E22" s="6"/>
      <c r="F22" s="6"/>
      <c r="G22" s="7">
        <f>5460</f>
        <v>5460</v>
      </c>
      <c r="H22" s="6"/>
      <c r="I22" s="6"/>
      <c r="J22" s="6"/>
      <c r="K22" s="6"/>
      <c r="L22" s="6"/>
      <c r="M22" s="6"/>
      <c r="N22" s="6"/>
      <c r="O22" s="6"/>
      <c r="P22" s="7">
        <f t="shared" si="0"/>
        <v>5460</v>
      </c>
    </row>
    <row r="23" spans="1:16" ht="15.6" x14ac:dyDescent="0.3">
      <c r="A23" s="5" t="s">
        <v>48</v>
      </c>
      <c r="B23" s="6"/>
      <c r="C23" s="6"/>
      <c r="D23" s="6"/>
      <c r="E23" s="6"/>
      <c r="F23" s="6"/>
      <c r="G23" s="6"/>
      <c r="H23" s="6"/>
      <c r="I23" s="6"/>
      <c r="J23" s="7">
        <f>1500</f>
        <v>1500</v>
      </c>
      <c r="K23" s="6"/>
      <c r="L23" s="6"/>
      <c r="M23" s="7">
        <f>120</f>
        <v>120</v>
      </c>
      <c r="N23" s="7">
        <f>290</f>
        <v>290</v>
      </c>
      <c r="O23" s="6"/>
      <c r="P23" s="7">
        <f t="shared" si="0"/>
        <v>1910</v>
      </c>
    </row>
    <row r="24" spans="1:16" ht="15.6" x14ac:dyDescent="0.3">
      <c r="A24" s="5" t="s">
        <v>49</v>
      </c>
      <c r="B24" s="8">
        <f t="shared" ref="B24:O24" si="4">((B21)+(B22))+(B23)</f>
        <v>0</v>
      </c>
      <c r="C24" s="8">
        <f t="shared" si="4"/>
        <v>0</v>
      </c>
      <c r="D24" s="8">
        <f t="shared" si="4"/>
        <v>0</v>
      </c>
      <c r="E24" s="8">
        <f t="shared" si="4"/>
        <v>0</v>
      </c>
      <c r="F24" s="8">
        <f t="shared" si="4"/>
        <v>0</v>
      </c>
      <c r="G24" s="8">
        <f t="shared" si="4"/>
        <v>5460</v>
      </c>
      <c r="H24" s="8">
        <f t="shared" si="4"/>
        <v>0</v>
      </c>
      <c r="I24" s="8">
        <f t="shared" si="4"/>
        <v>0</v>
      </c>
      <c r="J24" s="8">
        <f t="shared" si="4"/>
        <v>1500</v>
      </c>
      <c r="K24" s="8">
        <f t="shared" si="4"/>
        <v>0</v>
      </c>
      <c r="L24" s="8">
        <f t="shared" si="4"/>
        <v>0</v>
      </c>
      <c r="M24" s="8">
        <f t="shared" si="4"/>
        <v>120</v>
      </c>
      <c r="N24" s="8">
        <f t="shared" si="4"/>
        <v>290</v>
      </c>
      <c r="O24" s="8">
        <f t="shared" si="4"/>
        <v>0</v>
      </c>
      <c r="P24" s="8">
        <f t="shared" si="0"/>
        <v>7370</v>
      </c>
    </row>
    <row r="25" spans="1:16" ht="15.6" x14ac:dyDescent="0.3">
      <c r="A25" s="5" t="s">
        <v>16</v>
      </c>
      <c r="B25" s="8">
        <f t="shared" ref="B25:O25" si="5">(((B12)+(B15))+(B20))+(B24)</f>
        <v>0</v>
      </c>
      <c r="C25" s="8">
        <f t="shared" si="5"/>
        <v>0</v>
      </c>
      <c r="D25" s="8">
        <f t="shared" si="5"/>
        <v>0</v>
      </c>
      <c r="E25" s="8">
        <f t="shared" si="5"/>
        <v>13990</v>
      </c>
      <c r="F25" s="8">
        <f t="shared" si="5"/>
        <v>0</v>
      </c>
      <c r="G25" s="8">
        <f t="shared" si="5"/>
        <v>21669</v>
      </c>
      <c r="H25" s="8">
        <f t="shared" si="5"/>
        <v>0</v>
      </c>
      <c r="I25" s="8">
        <f t="shared" si="5"/>
        <v>1595.66</v>
      </c>
      <c r="J25" s="8">
        <f t="shared" si="5"/>
        <v>1500</v>
      </c>
      <c r="K25" s="8">
        <f t="shared" si="5"/>
        <v>0</v>
      </c>
      <c r="L25" s="8">
        <f t="shared" si="5"/>
        <v>5650</v>
      </c>
      <c r="M25" s="8">
        <f t="shared" si="5"/>
        <v>720</v>
      </c>
      <c r="N25" s="8">
        <f t="shared" si="5"/>
        <v>10490.05</v>
      </c>
      <c r="O25" s="8">
        <f t="shared" si="5"/>
        <v>1306</v>
      </c>
      <c r="P25" s="8">
        <f t="shared" si="0"/>
        <v>56920.710000000006</v>
      </c>
    </row>
    <row r="26" spans="1:16" ht="15.6" x14ac:dyDescent="0.3">
      <c r="A26" s="5" t="s">
        <v>17</v>
      </c>
      <c r="B26" s="8">
        <f t="shared" ref="B26:O26" si="6">(B25)-(0)</f>
        <v>0</v>
      </c>
      <c r="C26" s="8">
        <f t="shared" si="6"/>
        <v>0</v>
      </c>
      <c r="D26" s="8">
        <f t="shared" si="6"/>
        <v>0</v>
      </c>
      <c r="E26" s="8">
        <f t="shared" si="6"/>
        <v>13990</v>
      </c>
      <c r="F26" s="8">
        <f t="shared" si="6"/>
        <v>0</v>
      </c>
      <c r="G26" s="8">
        <f t="shared" si="6"/>
        <v>21669</v>
      </c>
      <c r="H26" s="8">
        <f t="shared" si="6"/>
        <v>0</v>
      </c>
      <c r="I26" s="8">
        <f t="shared" si="6"/>
        <v>1595.66</v>
      </c>
      <c r="J26" s="8">
        <f t="shared" si="6"/>
        <v>1500</v>
      </c>
      <c r="K26" s="8">
        <f t="shared" si="6"/>
        <v>0</v>
      </c>
      <c r="L26" s="8">
        <f t="shared" si="6"/>
        <v>5650</v>
      </c>
      <c r="M26" s="8">
        <f t="shared" si="6"/>
        <v>720</v>
      </c>
      <c r="N26" s="8">
        <f t="shared" si="6"/>
        <v>10490.05</v>
      </c>
      <c r="O26" s="8">
        <f t="shared" si="6"/>
        <v>1306</v>
      </c>
      <c r="P26" s="8">
        <f t="shared" si="0"/>
        <v>56920.710000000006</v>
      </c>
    </row>
    <row r="27" spans="1:16" ht="15.6" x14ac:dyDescent="0.3">
      <c r="A27" s="5" t="s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21.6" customHeight="1" x14ac:dyDescent="0.3">
      <c r="A28" s="5" t="s">
        <v>50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>
        <f t="shared" ref="P28:P70" si="7">(((((((((((((B28)+(C28))+(D28))+(E28))+(F28))+(G28))+(H28))+(I28))+(J28))+(K28))+(L28))+(M28))+(N28))+(O28)</f>
        <v>0</v>
      </c>
    </row>
    <row r="29" spans="1:16" ht="19.8" customHeight="1" x14ac:dyDescent="0.3">
      <c r="A29" s="5" t="s">
        <v>51</v>
      </c>
      <c r="B29" s="6"/>
      <c r="C29" s="6"/>
      <c r="D29" s="6"/>
      <c r="E29" s="6"/>
      <c r="F29" s="6"/>
      <c r="G29" s="6"/>
      <c r="H29" s="6"/>
      <c r="I29" s="7">
        <f>633.78</f>
        <v>633.78</v>
      </c>
      <c r="J29" s="6"/>
      <c r="K29" s="6"/>
      <c r="L29" s="6"/>
      <c r="M29" s="6"/>
      <c r="N29" s="6"/>
      <c r="O29" s="6"/>
      <c r="P29" s="7">
        <f t="shared" si="7"/>
        <v>633.78</v>
      </c>
    </row>
    <row r="30" spans="1:16" ht="15.6" x14ac:dyDescent="0.3">
      <c r="A30" s="5" t="s">
        <v>52</v>
      </c>
      <c r="B30" s="6"/>
      <c r="C30" s="7">
        <f>-3595</f>
        <v>-3595</v>
      </c>
      <c r="D30" s="6"/>
      <c r="E30" s="6"/>
      <c r="F30" s="6"/>
      <c r="G30" s="6"/>
      <c r="H30" s="6"/>
      <c r="I30" s="7">
        <f>-1867</f>
        <v>-1867</v>
      </c>
      <c r="J30" s="7">
        <f>-779</f>
        <v>-779</v>
      </c>
      <c r="K30" s="6"/>
      <c r="L30" s="6"/>
      <c r="M30" s="6"/>
      <c r="N30" s="6"/>
      <c r="O30" s="6"/>
      <c r="P30" s="7">
        <f t="shared" si="7"/>
        <v>-6241</v>
      </c>
    </row>
    <row r="31" spans="1:16" ht="15.6" x14ac:dyDescent="0.3">
      <c r="A31" s="5" t="s">
        <v>25</v>
      </c>
      <c r="B31" s="8">
        <f t="shared" ref="B31:O31" si="8">((B28)+(B29))+(B30)</f>
        <v>0</v>
      </c>
      <c r="C31" s="8">
        <f t="shared" si="8"/>
        <v>-3595</v>
      </c>
      <c r="D31" s="8">
        <f t="shared" si="8"/>
        <v>0</v>
      </c>
      <c r="E31" s="8">
        <f t="shared" si="8"/>
        <v>0</v>
      </c>
      <c r="F31" s="8">
        <f t="shared" si="8"/>
        <v>0</v>
      </c>
      <c r="G31" s="8">
        <f t="shared" si="8"/>
        <v>0</v>
      </c>
      <c r="H31" s="8">
        <f t="shared" si="8"/>
        <v>0</v>
      </c>
      <c r="I31" s="8">
        <f t="shared" si="8"/>
        <v>-1233.22</v>
      </c>
      <c r="J31" s="8">
        <f t="shared" si="8"/>
        <v>-779</v>
      </c>
      <c r="K31" s="8">
        <f t="shared" si="8"/>
        <v>0</v>
      </c>
      <c r="L31" s="8">
        <f t="shared" si="8"/>
        <v>0</v>
      </c>
      <c r="M31" s="8">
        <f t="shared" si="8"/>
        <v>0</v>
      </c>
      <c r="N31" s="8">
        <f t="shared" si="8"/>
        <v>0</v>
      </c>
      <c r="O31" s="8">
        <f t="shared" si="8"/>
        <v>0</v>
      </c>
      <c r="P31" s="8">
        <f t="shared" si="7"/>
        <v>-5607.22</v>
      </c>
    </row>
    <row r="32" spans="1:16" ht="15.6" x14ac:dyDescent="0.3">
      <c r="A32" s="5" t="s">
        <v>26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>
        <f t="shared" si="7"/>
        <v>0</v>
      </c>
    </row>
    <row r="33" spans="1:16" ht="15.6" x14ac:dyDescent="0.3">
      <c r="A33" s="5" t="s">
        <v>53</v>
      </c>
      <c r="B33" s="6"/>
      <c r="C33" s="6"/>
      <c r="D33" s="6"/>
      <c r="E33" s="6"/>
      <c r="F33" s="6"/>
      <c r="G33" s="6"/>
      <c r="H33" s="6"/>
      <c r="I33" s="7">
        <f>1081</f>
        <v>1081</v>
      </c>
      <c r="J33" s="6"/>
      <c r="K33" s="6"/>
      <c r="L33" s="6"/>
      <c r="M33" s="6"/>
      <c r="N33" s="7">
        <f>545.95</f>
        <v>545.95000000000005</v>
      </c>
      <c r="O33" s="6"/>
      <c r="P33" s="7">
        <f t="shared" si="7"/>
        <v>1626.95</v>
      </c>
    </row>
    <row r="34" spans="1:16" ht="15.6" x14ac:dyDescent="0.3">
      <c r="A34" s="5" t="s">
        <v>27</v>
      </c>
      <c r="B34" s="8">
        <f t="shared" ref="B34:O34" si="9">(B32)+(B33)</f>
        <v>0</v>
      </c>
      <c r="C34" s="8">
        <f t="shared" si="9"/>
        <v>0</v>
      </c>
      <c r="D34" s="8">
        <f t="shared" si="9"/>
        <v>0</v>
      </c>
      <c r="E34" s="8">
        <f t="shared" si="9"/>
        <v>0</v>
      </c>
      <c r="F34" s="8">
        <f t="shared" si="9"/>
        <v>0</v>
      </c>
      <c r="G34" s="8">
        <f t="shared" si="9"/>
        <v>0</v>
      </c>
      <c r="H34" s="8">
        <f t="shared" si="9"/>
        <v>0</v>
      </c>
      <c r="I34" s="8">
        <f t="shared" si="9"/>
        <v>1081</v>
      </c>
      <c r="J34" s="8">
        <f t="shared" si="9"/>
        <v>0</v>
      </c>
      <c r="K34" s="8">
        <f t="shared" si="9"/>
        <v>0</v>
      </c>
      <c r="L34" s="8">
        <f t="shared" si="9"/>
        <v>0</v>
      </c>
      <c r="M34" s="8">
        <f t="shared" si="9"/>
        <v>0</v>
      </c>
      <c r="N34" s="8">
        <f t="shared" si="9"/>
        <v>545.95000000000005</v>
      </c>
      <c r="O34" s="8">
        <f t="shared" si="9"/>
        <v>0</v>
      </c>
      <c r="P34" s="8">
        <f t="shared" si="7"/>
        <v>1626.95</v>
      </c>
    </row>
    <row r="35" spans="1:16" ht="15.6" x14ac:dyDescent="0.3">
      <c r="A35" s="5" t="s">
        <v>54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>
        <f t="shared" si="7"/>
        <v>0</v>
      </c>
    </row>
    <row r="36" spans="1:16" ht="15.6" x14ac:dyDescent="0.3">
      <c r="A36" s="5" t="s">
        <v>55</v>
      </c>
      <c r="B36" s="6"/>
      <c r="C36" s="7">
        <f>270</f>
        <v>270</v>
      </c>
      <c r="D36" s="6"/>
      <c r="E36" s="6"/>
      <c r="F36" s="6"/>
      <c r="G36" s="7">
        <f>774.5</f>
        <v>774.5</v>
      </c>
      <c r="H36" s="6"/>
      <c r="I36" s="6"/>
      <c r="J36" s="6"/>
      <c r="K36" s="6"/>
      <c r="L36" s="6"/>
      <c r="M36" s="6"/>
      <c r="N36" s="6"/>
      <c r="O36" s="6"/>
      <c r="P36" s="7">
        <f t="shared" si="7"/>
        <v>1044.5</v>
      </c>
    </row>
    <row r="37" spans="1:16" ht="15.6" x14ac:dyDescent="0.3">
      <c r="A37" s="5" t="s">
        <v>56</v>
      </c>
      <c r="B37" s="6"/>
      <c r="C37" s="6"/>
      <c r="D37" s="6"/>
      <c r="E37" s="6"/>
      <c r="F37" s="6"/>
      <c r="G37" s="7">
        <f>150</f>
        <v>150</v>
      </c>
      <c r="H37" s="6"/>
      <c r="I37" s="6"/>
      <c r="J37" s="6"/>
      <c r="K37" s="6"/>
      <c r="L37" s="6"/>
      <c r="M37" s="6"/>
      <c r="N37" s="6"/>
      <c r="O37" s="6"/>
      <c r="P37" s="7">
        <f t="shared" si="7"/>
        <v>150</v>
      </c>
    </row>
    <row r="38" spans="1:16" ht="15.6" x14ac:dyDescent="0.3">
      <c r="A38" s="5" t="s">
        <v>57</v>
      </c>
      <c r="B38" s="6"/>
      <c r="C38" s="6"/>
      <c r="D38" s="6"/>
      <c r="E38" s="6"/>
      <c r="F38" s="6"/>
      <c r="G38" s="7">
        <f>898.8</f>
        <v>898.8</v>
      </c>
      <c r="H38" s="6"/>
      <c r="I38" s="6"/>
      <c r="J38" s="6"/>
      <c r="K38" s="6"/>
      <c r="L38" s="6"/>
      <c r="M38" s="6"/>
      <c r="N38" s="6"/>
      <c r="O38" s="6"/>
      <c r="P38" s="7">
        <f t="shared" si="7"/>
        <v>898.8</v>
      </c>
    </row>
    <row r="39" spans="1:16" ht="15.6" x14ac:dyDescent="0.3">
      <c r="A39" s="5" t="s">
        <v>58</v>
      </c>
      <c r="B39" s="8">
        <f t="shared" ref="B39:O39" si="10">(((B35)+(B36))+(B37))+(B38)</f>
        <v>0</v>
      </c>
      <c r="C39" s="8">
        <f t="shared" si="10"/>
        <v>270</v>
      </c>
      <c r="D39" s="8">
        <f t="shared" si="10"/>
        <v>0</v>
      </c>
      <c r="E39" s="8">
        <f t="shared" si="10"/>
        <v>0</v>
      </c>
      <c r="F39" s="8">
        <f t="shared" si="10"/>
        <v>0</v>
      </c>
      <c r="G39" s="8">
        <f t="shared" si="10"/>
        <v>1823.3</v>
      </c>
      <c r="H39" s="8">
        <f t="shared" si="10"/>
        <v>0</v>
      </c>
      <c r="I39" s="8">
        <f t="shared" si="10"/>
        <v>0</v>
      </c>
      <c r="J39" s="8">
        <f t="shared" si="10"/>
        <v>0</v>
      </c>
      <c r="K39" s="8">
        <f t="shared" si="10"/>
        <v>0</v>
      </c>
      <c r="L39" s="8">
        <f t="shared" si="10"/>
        <v>0</v>
      </c>
      <c r="M39" s="8">
        <f t="shared" si="10"/>
        <v>0</v>
      </c>
      <c r="N39" s="8">
        <f t="shared" si="10"/>
        <v>0</v>
      </c>
      <c r="O39" s="8">
        <f t="shared" si="10"/>
        <v>0</v>
      </c>
      <c r="P39" s="8">
        <f t="shared" si="7"/>
        <v>2093.3000000000002</v>
      </c>
    </row>
    <row r="40" spans="1:16" ht="15.6" x14ac:dyDescent="0.3">
      <c r="A40" s="5" t="s">
        <v>59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>
        <f t="shared" si="7"/>
        <v>0</v>
      </c>
    </row>
    <row r="41" spans="1:16" ht="15.6" x14ac:dyDescent="0.3">
      <c r="A41" s="5" t="s">
        <v>60</v>
      </c>
      <c r="B41" s="6"/>
      <c r="C41" s="6"/>
      <c r="D41" s="6"/>
      <c r="E41" s="6"/>
      <c r="F41" s="6"/>
      <c r="G41" s="6"/>
      <c r="H41" s="6"/>
      <c r="I41" s="7">
        <f>130</f>
        <v>130</v>
      </c>
      <c r="J41" s="6"/>
      <c r="K41" s="6"/>
      <c r="L41" s="6"/>
      <c r="M41" s="6"/>
      <c r="N41" s="6"/>
      <c r="O41" s="6"/>
      <c r="P41" s="7">
        <f t="shared" si="7"/>
        <v>130</v>
      </c>
    </row>
    <row r="42" spans="1:16" ht="15.6" x14ac:dyDescent="0.3">
      <c r="A42" s="5" t="s">
        <v>61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>
        <f t="shared" si="7"/>
        <v>0</v>
      </c>
    </row>
    <row r="43" spans="1:16" ht="15.6" x14ac:dyDescent="0.3">
      <c r="A43" s="5" t="s">
        <v>62</v>
      </c>
      <c r="B43" s="6"/>
      <c r="C43" s="6"/>
      <c r="D43" s="6"/>
      <c r="E43" s="6"/>
      <c r="F43" s="6"/>
      <c r="G43" s="6"/>
      <c r="H43" s="6"/>
      <c r="I43" s="7">
        <f>36</f>
        <v>36</v>
      </c>
      <c r="J43" s="6"/>
      <c r="K43" s="6"/>
      <c r="L43" s="6"/>
      <c r="M43" s="6"/>
      <c r="N43" s="6"/>
      <c r="O43" s="6"/>
      <c r="P43" s="7">
        <f t="shared" si="7"/>
        <v>36</v>
      </c>
    </row>
    <row r="44" spans="1:16" ht="15.6" x14ac:dyDescent="0.3">
      <c r="A44" s="5" t="s">
        <v>28</v>
      </c>
      <c r="B44" s="8">
        <f t="shared" ref="B44:O44" si="11">(B42)+(B43)</f>
        <v>0</v>
      </c>
      <c r="C44" s="8">
        <f t="shared" si="11"/>
        <v>0</v>
      </c>
      <c r="D44" s="8">
        <f t="shared" si="11"/>
        <v>0</v>
      </c>
      <c r="E44" s="8">
        <f t="shared" si="11"/>
        <v>0</v>
      </c>
      <c r="F44" s="8">
        <f t="shared" si="11"/>
        <v>0</v>
      </c>
      <c r="G44" s="8">
        <f t="shared" si="11"/>
        <v>0</v>
      </c>
      <c r="H44" s="8">
        <f t="shared" si="11"/>
        <v>0</v>
      </c>
      <c r="I44" s="8">
        <f t="shared" si="11"/>
        <v>36</v>
      </c>
      <c r="J44" s="8">
        <f t="shared" si="11"/>
        <v>0</v>
      </c>
      <c r="K44" s="8">
        <f t="shared" si="11"/>
        <v>0</v>
      </c>
      <c r="L44" s="8">
        <f t="shared" si="11"/>
        <v>0</v>
      </c>
      <c r="M44" s="8">
        <f t="shared" si="11"/>
        <v>0</v>
      </c>
      <c r="N44" s="8">
        <f t="shared" si="11"/>
        <v>0</v>
      </c>
      <c r="O44" s="8">
        <f t="shared" si="11"/>
        <v>0</v>
      </c>
      <c r="P44" s="8">
        <f t="shared" si="7"/>
        <v>36</v>
      </c>
    </row>
    <row r="45" spans="1:16" ht="15.6" x14ac:dyDescent="0.3">
      <c r="A45" s="5" t="s">
        <v>63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>
        <f t="shared" si="7"/>
        <v>0</v>
      </c>
    </row>
    <row r="46" spans="1:16" ht="15.6" x14ac:dyDescent="0.3">
      <c r="A46" s="5" t="s">
        <v>64</v>
      </c>
      <c r="B46" s="6"/>
      <c r="C46" s="7">
        <f>1725</f>
        <v>1725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7">
        <f t="shared" si="7"/>
        <v>1725</v>
      </c>
    </row>
    <row r="47" spans="1:16" ht="15.6" x14ac:dyDescent="0.3">
      <c r="A47" s="5" t="s">
        <v>29</v>
      </c>
      <c r="B47" s="8">
        <f t="shared" ref="B47:O47" si="12">(B45)+(B46)</f>
        <v>0</v>
      </c>
      <c r="C47" s="8">
        <f t="shared" si="12"/>
        <v>1725</v>
      </c>
      <c r="D47" s="8">
        <f t="shared" si="12"/>
        <v>0</v>
      </c>
      <c r="E47" s="8">
        <f t="shared" si="12"/>
        <v>0</v>
      </c>
      <c r="F47" s="8">
        <f t="shared" si="12"/>
        <v>0</v>
      </c>
      <c r="G47" s="8">
        <f t="shared" si="12"/>
        <v>0</v>
      </c>
      <c r="H47" s="8">
        <f t="shared" si="12"/>
        <v>0</v>
      </c>
      <c r="I47" s="8">
        <f t="shared" si="12"/>
        <v>0</v>
      </c>
      <c r="J47" s="8">
        <f t="shared" si="12"/>
        <v>0</v>
      </c>
      <c r="K47" s="8">
        <f t="shared" si="12"/>
        <v>0</v>
      </c>
      <c r="L47" s="8">
        <f t="shared" si="12"/>
        <v>0</v>
      </c>
      <c r="M47" s="8">
        <f t="shared" si="12"/>
        <v>0</v>
      </c>
      <c r="N47" s="8">
        <f t="shared" si="12"/>
        <v>0</v>
      </c>
      <c r="O47" s="8">
        <f t="shared" si="12"/>
        <v>0</v>
      </c>
      <c r="P47" s="8">
        <f t="shared" si="7"/>
        <v>1725</v>
      </c>
    </row>
    <row r="48" spans="1:16" ht="15.6" x14ac:dyDescent="0.3">
      <c r="A48" s="5" t="s">
        <v>65</v>
      </c>
      <c r="B48" s="8">
        <f t="shared" ref="B48:O48" si="13">(((B40)+(B41))+(B44))+(B47)</f>
        <v>0</v>
      </c>
      <c r="C48" s="8">
        <f t="shared" si="13"/>
        <v>1725</v>
      </c>
      <c r="D48" s="8">
        <f t="shared" si="13"/>
        <v>0</v>
      </c>
      <c r="E48" s="8">
        <f t="shared" si="13"/>
        <v>0</v>
      </c>
      <c r="F48" s="8">
        <f t="shared" si="13"/>
        <v>0</v>
      </c>
      <c r="G48" s="8">
        <f t="shared" si="13"/>
        <v>0</v>
      </c>
      <c r="H48" s="8">
        <f t="shared" si="13"/>
        <v>0</v>
      </c>
      <c r="I48" s="8">
        <f t="shared" si="13"/>
        <v>166</v>
      </c>
      <c r="J48" s="8">
        <f t="shared" si="13"/>
        <v>0</v>
      </c>
      <c r="K48" s="8">
        <f t="shared" si="13"/>
        <v>0</v>
      </c>
      <c r="L48" s="8">
        <f t="shared" si="13"/>
        <v>0</v>
      </c>
      <c r="M48" s="8">
        <f t="shared" si="13"/>
        <v>0</v>
      </c>
      <c r="N48" s="8">
        <f t="shared" si="13"/>
        <v>0</v>
      </c>
      <c r="O48" s="8">
        <f t="shared" si="13"/>
        <v>0</v>
      </c>
      <c r="P48" s="8">
        <f t="shared" si="7"/>
        <v>1891</v>
      </c>
    </row>
    <row r="49" spans="1:16" ht="15.6" x14ac:dyDescent="0.3">
      <c r="A49" s="5" t="s">
        <v>66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7">
        <f t="shared" si="7"/>
        <v>0</v>
      </c>
    </row>
    <row r="50" spans="1:16" ht="15.6" x14ac:dyDescent="0.3">
      <c r="A50" s="5" t="s">
        <v>67</v>
      </c>
      <c r="B50" s="7">
        <f>1324.82</f>
        <v>1324.82</v>
      </c>
      <c r="C50" s="6"/>
      <c r="D50" s="6"/>
      <c r="E50" s="7">
        <f>1750</f>
        <v>1750</v>
      </c>
      <c r="F50" s="6"/>
      <c r="G50" s="6"/>
      <c r="H50" s="6"/>
      <c r="I50" s="6"/>
      <c r="J50" s="6"/>
      <c r="K50" s="7">
        <f>89</f>
        <v>89</v>
      </c>
      <c r="L50" s="7">
        <f>1750</f>
        <v>1750</v>
      </c>
      <c r="M50" s="6"/>
      <c r="N50" s="6"/>
      <c r="O50" s="6"/>
      <c r="P50" s="7">
        <f t="shared" si="7"/>
        <v>4913.82</v>
      </c>
    </row>
    <row r="51" spans="1:16" ht="15.6" x14ac:dyDescent="0.3">
      <c r="A51" s="5" t="s">
        <v>68</v>
      </c>
      <c r="B51" s="6"/>
      <c r="C51" s="6"/>
      <c r="D51" s="6"/>
      <c r="E51" s="6"/>
      <c r="F51" s="6"/>
      <c r="G51" s="7">
        <f>3800</f>
        <v>3800</v>
      </c>
      <c r="H51" s="6"/>
      <c r="I51" s="6"/>
      <c r="J51" s="6"/>
      <c r="K51" s="6"/>
      <c r="L51" s="6"/>
      <c r="M51" s="6"/>
      <c r="N51" s="6"/>
      <c r="O51" s="6"/>
      <c r="P51" s="7">
        <f t="shared" si="7"/>
        <v>3800</v>
      </c>
    </row>
    <row r="52" spans="1:16" ht="15.6" x14ac:dyDescent="0.3">
      <c r="A52" s="5" t="s">
        <v>69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7">
        <f>30537.5</f>
        <v>30537.5</v>
      </c>
      <c r="N52" s="6"/>
      <c r="O52" s="6"/>
      <c r="P52" s="7">
        <f t="shared" si="7"/>
        <v>30537.5</v>
      </c>
    </row>
    <row r="53" spans="1:16" ht="15.6" x14ac:dyDescent="0.3">
      <c r="A53" s="5" t="s">
        <v>30</v>
      </c>
      <c r="B53" s="8">
        <f t="shared" ref="B53:O53" si="14">(((B49)+(B50))+(B51))+(B52)</f>
        <v>1324.82</v>
      </c>
      <c r="C53" s="8">
        <f t="shared" si="14"/>
        <v>0</v>
      </c>
      <c r="D53" s="8">
        <f t="shared" si="14"/>
        <v>0</v>
      </c>
      <c r="E53" s="8">
        <f t="shared" si="14"/>
        <v>1750</v>
      </c>
      <c r="F53" s="8">
        <f t="shared" si="14"/>
        <v>0</v>
      </c>
      <c r="G53" s="8">
        <f t="shared" si="14"/>
        <v>3800</v>
      </c>
      <c r="H53" s="8">
        <f t="shared" si="14"/>
        <v>0</v>
      </c>
      <c r="I53" s="8">
        <f t="shared" si="14"/>
        <v>0</v>
      </c>
      <c r="J53" s="8">
        <f t="shared" si="14"/>
        <v>0</v>
      </c>
      <c r="K53" s="8">
        <f t="shared" si="14"/>
        <v>89</v>
      </c>
      <c r="L53" s="8">
        <f t="shared" si="14"/>
        <v>1750</v>
      </c>
      <c r="M53" s="8">
        <f t="shared" si="14"/>
        <v>30537.5</v>
      </c>
      <c r="N53" s="8">
        <f t="shared" si="14"/>
        <v>0</v>
      </c>
      <c r="O53" s="8">
        <f t="shared" si="14"/>
        <v>0</v>
      </c>
      <c r="P53" s="8">
        <f t="shared" si="7"/>
        <v>39251.32</v>
      </c>
    </row>
    <row r="54" spans="1:16" ht="15.6" x14ac:dyDescent="0.3">
      <c r="A54" s="5" t="s">
        <v>70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7">
        <f t="shared" si="7"/>
        <v>0</v>
      </c>
    </row>
    <row r="55" spans="1:16" ht="15.6" x14ac:dyDescent="0.3">
      <c r="A55" s="5" t="s">
        <v>71</v>
      </c>
      <c r="B55" s="6"/>
      <c r="C55" s="6"/>
      <c r="D55" s="6"/>
      <c r="E55" s="6"/>
      <c r="F55" s="6"/>
      <c r="G55" s="6"/>
      <c r="H55" s="6"/>
      <c r="I55" s="7">
        <f>8.77</f>
        <v>8.77</v>
      </c>
      <c r="J55" s="6"/>
      <c r="K55" s="6"/>
      <c r="L55" s="6"/>
      <c r="M55" s="6"/>
      <c r="N55" s="6"/>
      <c r="O55" s="6"/>
      <c r="P55" s="7">
        <f t="shared" si="7"/>
        <v>8.77</v>
      </c>
    </row>
    <row r="56" spans="1:16" ht="15.6" x14ac:dyDescent="0.3">
      <c r="A56" s="5" t="s">
        <v>72</v>
      </c>
      <c r="B56" s="6"/>
      <c r="C56" s="6"/>
      <c r="D56" s="6"/>
      <c r="E56" s="6"/>
      <c r="F56" s="6"/>
      <c r="G56" s="6"/>
      <c r="H56" s="6"/>
      <c r="I56" s="7">
        <f>87.69</f>
        <v>87.69</v>
      </c>
      <c r="J56" s="6"/>
      <c r="K56" s="6"/>
      <c r="L56" s="6"/>
      <c r="M56" s="7">
        <f>360</f>
        <v>360</v>
      </c>
      <c r="N56" s="6"/>
      <c r="O56" s="6"/>
      <c r="P56" s="7">
        <f t="shared" si="7"/>
        <v>447.69</v>
      </c>
    </row>
    <row r="57" spans="1:16" ht="15.6" x14ac:dyDescent="0.3">
      <c r="A57" s="5" t="s">
        <v>73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7">
        <f>425.91</f>
        <v>425.91</v>
      </c>
      <c r="N57" s="6"/>
      <c r="O57" s="6"/>
      <c r="P57" s="7">
        <f t="shared" si="7"/>
        <v>425.91</v>
      </c>
    </row>
    <row r="58" spans="1:16" ht="15.6" x14ac:dyDescent="0.3">
      <c r="A58" s="5" t="s">
        <v>74</v>
      </c>
      <c r="B58" s="6"/>
      <c r="C58" s="6"/>
      <c r="D58" s="6"/>
      <c r="E58" s="6"/>
      <c r="F58" s="6"/>
      <c r="G58" s="6"/>
      <c r="H58" s="6"/>
      <c r="I58" s="7">
        <f>45</f>
        <v>45</v>
      </c>
      <c r="J58" s="6"/>
      <c r="K58" s="6"/>
      <c r="L58" s="6"/>
      <c r="M58" s="6"/>
      <c r="N58" s="6"/>
      <c r="O58" s="6"/>
      <c r="P58" s="7">
        <f t="shared" si="7"/>
        <v>45</v>
      </c>
    </row>
    <row r="59" spans="1:16" ht="15.6" x14ac:dyDescent="0.3">
      <c r="A59" s="5" t="s">
        <v>75</v>
      </c>
      <c r="B59" s="7">
        <f>250</f>
        <v>250</v>
      </c>
      <c r="C59" s="6"/>
      <c r="D59" s="6"/>
      <c r="E59" s="6"/>
      <c r="F59" s="7">
        <f>1261</f>
        <v>1261</v>
      </c>
      <c r="G59" s="6"/>
      <c r="H59" s="7">
        <f>9159.54</f>
        <v>9159.5400000000009</v>
      </c>
      <c r="I59" s="6"/>
      <c r="J59" s="6"/>
      <c r="K59" s="6"/>
      <c r="L59" s="6"/>
      <c r="M59" s="7">
        <f>1520</f>
        <v>1520</v>
      </c>
      <c r="N59" s="6"/>
      <c r="O59" s="6"/>
      <c r="P59" s="7">
        <f t="shared" si="7"/>
        <v>12190.54</v>
      </c>
    </row>
    <row r="60" spans="1:16" ht="15.6" x14ac:dyDescent="0.3">
      <c r="A60" s="5" t="s">
        <v>76</v>
      </c>
      <c r="B60" s="8">
        <f t="shared" ref="B60:O60" si="15">(((((B54)+(B55))+(B56))+(B57))+(B58))+(B59)</f>
        <v>250</v>
      </c>
      <c r="C60" s="8">
        <f t="shared" si="15"/>
        <v>0</v>
      </c>
      <c r="D60" s="8">
        <f t="shared" si="15"/>
        <v>0</v>
      </c>
      <c r="E60" s="8">
        <f t="shared" si="15"/>
        <v>0</v>
      </c>
      <c r="F60" s="8">
        <f t="shared" si="15"/>
        <v>1261</v>
      </c>
      <c r="G60" s="8">
        <f t="shared" si="15"/>
        <v>0</v>
      </c>
      <c r="H60" s="8">
        <f t="shared" si="15"/>
        <v>9159.5400000000009</v>
      </c>
      <c r="I60" s="8">
        <f t="shared" si="15"/>
        <v>141.45999999999998</v>
      </c>
      <c r="J60" s="8">
        <f t="shared" si="15"/>
        <v>0</v>
      </c>
      <c r="K60" s="8">
        <f t="shared" si="15"/>
        <v>0</v>
      </c>
      <c r="L60" s="8">
        <f t="shared" si="15"/>
        <v>0</v>
      </c>
      <c r="M60" s="8">
        <f t="shared" si="15"/>
        <v>2305.91</v>
      </c>
      <c r="N60" s="8">
        <f t="shared" si="15"/>
        <v>0</v>
      </c>
      <c r="O60" s="8">
        <f t="shared" si="15"/>
        <v>0</v>
      </c>
      <c r="P60" s="8">
        <f t="shared" si="7"/>
        <v>13117.91</v>
      </c>
    </row>
    <row r="61" spans="1:16" ht="15.6" x14ac:dyDescent="0.3">
      <c r="A61" s="5" t="s">
        <v>77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">
        <f t="shared" si="7"/>
        <v>0</v>
      </c>
    </row>
    <row r="62" spans="1:16" ht="15.6" x14ac:dyDescent="0.3">
      <c r="A62" s="5" t="s">
        <v>78</v>
      </c>
      <c r="B62" s="6"/>
      <c r="C62" s="7">
        <f>6168.1</f>
        <v>6168.1</v>
      </c>
      <c r="D62" s="6"/>
      <c r="E62" s="6"/>
      <c r="F62" s="6"/>
      <c r="G62" s="7">
        <f>620</f>
        <v>620</v>
      </c>
      <c r="H62" s="7">
        <f>14170.95</f>
        <v>14170.95</v>
      </c>
      <c r="I62" s="6"/>
      <c r="J62" s="6"/>
      <c r="K62" s="6"/>
      <c r="L62" s="6"/>
      <c r="M62" s="7">
        <f>640</f>
        <v>640</v>
      </c>
      <c r="N62" s="6"/>
      <c r="O62" s="6"/>
      <c r="P62" s="7">
        <f t="shared" si="7"/>
        <v>21599.050000000003</v>
      </c>
    </row>
    <row r="63" spans="1:16" ht="15.6" x14ac:dyDescent="0.3">
      <c r="A63" s="5" t="s">
        <v>31</v>
      </c>
      <c r="B63" s="8">
        <f t="shared" ref="B63:O63" si="16">(B61)+(B62)</f>
        <v>0</v>
      </c>
      <c r="C63" s="8">
        <f t="shared" si="16"/>
        <v>6168.1</v>
      </c>
      <c r="D63" s="8">
        <f t="shared" si="16"/>
        <v>0</v>
      </c>
      <c r="E63" s="8">
        <f t="shared" si="16"/>
        <v>0</v>
      </c>
      <c r="F63" s="8">
        <f t="shared" si="16"/>
        <v>0</v>
      </c>
      <c r="G63" s="8">
        <f t="shared" si="16"/>
        <v>620</v>
      </c>
      <c r="H63" s="8">
        <f t="shared" si="16"/>
        <v>14170.95</v>
      </c>
      <c r="I63" s="8">
        <f t="shared" si="16"/>
        <v>0</v>
      </c>
      <c r="J63" s="8">
        <f t="shared" si="16"/>
        <v>0</v>
      </c>
      <c r="K63" s="8">
        <f t="shared" si="16"/>
        <v>0</v>
      </c>
      <c r="L63" s="8">
        <f t="shared" si="16"/>
        <v>0</v>
      </c>
      <c r="M63" s="8">
        <f t="shared" si="16"/>
        <v>640</v>
      </c>
      <c r="N63" s="8">
        <f t="shared" si="16"/>
        <v>0</v>
      </c>
      <c r="O63" s="8">
        <f t="shared" si="16"/>
        <v>0</v>
      </c>
      <c r="P63" s="8">
        <f t="shared" si="7"/>
        <v>21599.050000000003</v>
      </c>
    </row>
    <row r="64" spans="1:16" ht="15.6" x14ac:dyDescent="0.3">
      <c r="A64" s="5" t="s">
        <v>79</v>
      </c>
      <c r="B64" s="6"/>
      <c r="C64" s="6"/>
      <c r="D64" s="7">
        <f>225</f>
        <v>225</v>
      </c>
      <c r="E64" s="6"/>
      <c r="F64" s="6"/>
      <c r="G64" s="6"/>
      <c r="H64" s="6"/>
      <c r="I64" s="6"/>
      <c r="J64" s="6"/>
      <c r="K64" s="7">
        <f>225</f>
        <v>225</v>
      </c>
      <c r="L64" s="6"/>
      <c r="M64" s="6"/>
      <c r="N64" s="6"/>
      <c r="O64" s="6"/>
      <c r="P64" s="7">
        <f t="shared" si="7"/>
        <v>450</v>
      </c>
    </row>
    <row r="65" spans="1:16" ht="15.6" x14ac:dyDescent="0.3">
      <c r="A65" s="5" t="s">
        <v>80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">
        <f t="shared" si="7"/>
        <v>0</v>
      </c>
    </row>
    <row r="66" spans="1:16" ht="15.6" x14ac:dyDescent="0.3">
      <c r="A66" s="5" t="s">
        <v>81</v>
      </c>
      <c r="B66" s="6"/>
      <c r="C66" s="6"/>
      <c r="D66" s="6"/>
      <c r="E66" s="6"/>
      <c r="F66" s="6"/>
      <c r="G66" s="6"/>
      <c r="H66" s="6"/>
      <c r="I66" s="6"/>
      <c r="J66" s="7">
        <f>619.28</f>
        <v>619.28</v>
      </c>
      <c r="K66" s="6"/>
      <c r="L66" s="6"/>
      <c r="M66" s="6"/>
      <c r="N66" s="7">
        <f>9693.2</f>
        <v>9693.2000000000007</v>
      </c>
      <c r="O66" s="6"/>
      <c r="P66" s="7">
        <f t="shared" si="7"/>
        <v>10312.480000000001</v>
      </c>
    </row>
    <row r="67" spans="1:16" ht="15.6" x14ac:dyDescent="0.3">
      <c r="A67" s="5" t="s">
        <v>82</v>
      </c>
      <c r="B67" s="8">
        <f t="shared" ref="B67:O67" si="17">(B65)+(B66)</f>
        <v>0</v>
      </c>
      <c r="C67" s="8">
        <f t="shared" si="17"/>
        <v>0</v>
      </c>
      <c r="D67" s="8">
        <f t="shared" si="17"/>
        <v>0</v>
      </c>
      <c r="E67" s="8">
        <f t="shared" si="17"/>
        <v>0</v>
      </c>
      <c r="F67" s="8">
        <f t="shared" si="17"/>
        <v>0</v>
      </c>
      <c r="G67" s="8">
        <f t="shared" si="17"/>
        <v>0</v>
      </c>
      <c r="H67" s="8">
        <f t="shared" si="17"/>
        <v>0</v>
      </c>
      <c r="I67" s="8">
        <f t="shared" si="17"/>
        <v>0</v>
      </c>
      <c r="J67" s="8">
        <f t="shared" si="17"/>
        <v>619.28</v>
      </c>
      <c r="K67" s="8">
        <f t="shared" si="17"/>
        <v>0</v>
      </c>
      <c r="L67" s="8">
        <f t="shared" si="17"/>
        <v>0</v>
      </c>
      <c r="M67" s="8">
        <f t="shared" si="17"/>
        <v>0</v>
      </c>
      <c r="N67" s="8">
        <f t="shared" si="17"/>
        <v>9693.2000000000007</v>
      </c>
      <c r="O67" s="8">
        <f t="shared" si="17"/>
        <v>0</v>
      </c>
      <c r="P67" s="8">
        <f t="shared" si="7"/>
        <v>10312.480000000001</v>
      </c>
    </row>
    <row r="68" spans="1:16" ht="15.6" x14ac:dyDescent="0.3">
      <c r="A68" s="5" t="s">
        <v>19</v>
      </c>
      <c r="B68" s="8">
        <f t="shared" ref="B68:O68" si="18">((((((((B31)+(B34))+(B39))+(B48))+(B53))+(B60))+(B63))+(B64))+(B67)</f>
        <v>1574.82</v>
      </c>
      <c r="C68" s="8">
        <f t="shared" si="18"/>
        <v>4568.1000000000004</v>
      </c>
      <c r="D68" s="8">
        <f t="shared" si="18"/>
        <v>225</v>
      </c>
      <c r="E68" s="8">
        <f t="shared" si="18"/>
        <v>1750</v>
      </c>
      <c r="F68" s="8">
        <f t="shared" si="18"/>
        <v>1261</v>
      </c>
      <c r="G68" s="8">
        <f t="shared" si="18"/>
        <v>6243.3</v>
      </c>
      <c r="H68" s="8">
        <f t="shared" si="18"/>
        <v>23330.49</v>
      </c>
      <c r="I68" s="8">
        <f t="shared" si="18"/>
        <v>155.23999999999995</v>
      </c>
      <c r="J68" s="8">
        <f t="shared" si="18"/>
        <v>-159.72000000000003</v>
      </c>
      <c r="K68" s="8">
        <f t="shared" si="18"/>
        <v>314</v>
      </c>
      <c r="L68" s="8">
        <f t="shared" si="18"/>
        <v>1750</v>
      </c>
      <c r="M68" s="8">
        <f t="shared" si="18"/>
        <v>33483.410000000003</v>
      </c>
      <c r="N68" s="8">
        <f t="shared" si="18"/>
        <v>10239.150000000001</v>
      </c>
      <c r="O68" s="8">
        <f t="shared" si="18"/>
        <v>0</v>
      </c>
      <c r="P68" s="8">
        <f t="shared" si="7"/>
        <v>84734.790000000008</v>
      </c>
    </row>
    <row r="69" spans="1:16" ht="15.6" x14ac:dyDescent="0.3">
      <c r="A69" s="5" t="s">
        <v>20</v>
      </c>
      <c r="B69" s="8">
        <f t="shared" ref="B69:O69" si="19">(B26)-(B68)</f>
        <v>-1574.82</v>
      </c>
      <c r="C69" s="8">
        <f t="shared" si="19"/>
        <v>-4568.1000000000004</v>
      </c>
      <c r="D69" s="8">
        <f t="shared" si="19"/>
        <v>-225</v>
      </c>
      <c r="E69" s="8">
        <f t="shared" si="19"/>
        <v>12240</v>
      </c>
      <c r="F69" s="8">
        <f t="shared" si="19"/>
        <v>-1261</v>
      </c>
      <c r="G69" s="8">
        <f t="shared" si="19"/>
        <v>15425.7</v>
      </c>
      <c r="H69" s="8">
        <f t="shared" si="19"/>
        <v>-23330.49</v>
      </c>
      <c r="I69" s="8">
        <f t="shared" si="19"/>
        <v>1440.42</v>
      </c>
      <c r="J69" s="8">
        <f t="shared" si="19"/>
        <v>1659.72</v>
      </c>
      <c r="K69" s="8">
        <f t="shared" si="19"/>
        <v>-314</v>
      </c>
      <c r="L69" s="8">
        <f t="shared" si="19"/>
        <v>3900</v>
      </c>
      <c r="M69" s="8">
        <f t="shared" si="19"/>
        <v>-32763.410000000003</v>
      </c>
      <c r="N69" s="8">
        <f t="shared" si="19"/>
        <v>250.89999999999782</v>
      </c>
      <c r="O69" s="8">
        <f t="shared" si="19"/>
        <v>1306</v>
      </c>
      <c r="P69" s="8">
        <f t="shared" si="7"/>
        <v>-27814.080000000009</v>
      </c>
    </row>
    <row r="70" spans="1:16" ht="15.6" x14ac:dyDescent="0.3">
      <c r="A70" s="5" t="s">
        <v>21</v>
      </c>
      <c r="B70" s="9">
        <f t="shared" ref="B70:O70" si="20">(B69)+(0)</f>
        <v>-1574.82</v>
      </c>
      <c r="C70" s="9">
        <f t="shared" si="20"/>
        <v>-4568.1000000000004</v>
      </c>
      <c r="D70" s="9">
        <f t="shared" si="20"/>
        <v>-225</v>
      </c>
      <c r="E70" s="9">
        <f t="shared" si="20"/>
        <v>12240</v>
      </c>
      <c r="F70" s="9">
        <f t="shared" si="20"/>
        <v>-1261</v>
      </c>
      <c r="G70" s="9">
        <f t="shared" si="20"/>
        <v>15425.7</v>
      </c>
      <c r="H70" s="9">
        <f t="shared" si="20"/>
        <v>-23330.49</v>
      </c>
      <c r="I70" s="9">
        <f t="shared" si="20"/>
        <v>1440.42</v>
      </c>
      <c r="J70" s="9">
        <f t="shared" si="20"/>
        <v>1659.72</v>
      </c>
      <c r="K70" s="9">
        <f t="shared" si="20"/>
        <v>-314</v>
      </c>
      <c r="L70" s="9">
        <f t="shared" si="20"/>
        <v>3900</v>
      </c>
      <c r="M70" s="9">
        <f t="shared" si="20"/>
        <v>-32763.410000000003</v>
      </c>
      <c r="N70" s="9">
        <f t="shared" si="20"/>
        <v>250.89999999999782</v>
      </c>
      <c r="O70" s="9">
        <f t="shared" si="20"/>
        <v>1306</v>
      </c>
      <c r="P70" s="9">
        <f t="shared" si="7"/>
        <v>-27814.080000000009</v>
      </c>
    </row>
    <row r="71" spans="1:16" ht="15.6" x14ac:dyDescent="0.3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5.6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</sheetData>
  <mergeCells count="3">
    <mergeCell ref="A1:P1"/>
    <mergeCell ref="A2:P2"/>
    <mergeCell ref="A3:P3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and Loss by Class</vt:lpstr>
      <vt:lpstr>'Profit and Loss by Class'!Print_Titles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nlheureux23@gmail.com</cp:lastModifiedBy>
  <cp:lastPrinted>2024-03-10T18:14:19Z</cp:lastPrinted>
  <dcterms:created xsi:type="dcterms:W3CDTF">2024-03-10T17:58:39Z</dcterms:created>
  <dcterms:modified xsi:type="dcterms:W3CDTF">2024-03-10T18:14:56Z</dcterms:modified>
</cp:coreProperties>
</file>