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13_ncr:1_{7B5FA2FE-3854-4C63-9AA7-A3E1027392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Titles" localSheetId="0">'Profit and Loss by Class'!$A:$A,'Profit and Loss by Class'!$1:$5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7" i="1" l="1"/>
  <c r="U67" i="1"/>
  <c r="T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/>
  <c r="C67" i="1"/>
  <c r="B67" i="1"/>
  <c r="S66" i="1"/>
  <c r="S67" i="1" s="1"/>
  <c r="F66" i="1"/>
  <c r="W66" i="1" s="1"/>
  <c r="W65" i="1"/>
  <c r="R64" i="1"/>
  <c r="W64" i="1" s="1"/>
  <c r="V63" i="1"/>
  <c r="U63" i="1"/>
  <c r="T63" i="1"/>
  <c r="S63" i="1"/>
  <c r="R63" i="1"/>
  <c r="Q63" i="1"/>
  <c r="P63" i="1"/>
  <c r="N63" i="1"/>
  <c r="M63" i="1"/>
  <c r="L63" i="1"/>
  <c r="K63" i="1"/>
  <c r="I63" i="1"/>
  <c r="H63" i="1"/>
  <c r="G63" i="1"/>
  <c r="F63" i="1"/>
  <c r="E63" i="1"/>
  <c r="C63" i="1"/>
  <c r="B63" i="1"/>
  <c r="J62" i="1"/>
  <c r="J63" i="1" s="1"/>
  <c r="D62" i="1"/>
  <c r="D63" i="1" s="1"/>
  <c r="W61" i="1"/>
  <c r="O61" i="1"/>
  <c r="O63" i="1" s="1"/>
  <c r="W60" i="1"/>
  <c r="V59" i="1"/>
  <c r="U59" i="1"/>
  <c r="T59" i="1"/>
  <c r="S59" i="1"/>
  <c r="R59" i="1"/>
  <c r="Q59" i="1"/>
  <c r="P59" i="1"/>
  <c r="O59" i="1"/>
  <c r="N59" i="1"/>
  <c r="M59" i="1"/>
  <c r="L59" i="1"/>
  <c r="J59" i="1"/>
  <c r="I59" i="1"/>
  <c r="H59" i="1"/>
  <c r="G59" i="1"/>
  <c r="E59" i="1"/>
  <c r="D59" i="1"/>
  <c r="C59" i="1"/>
  <c r="W58" i="1"/>
  <c r="O58" i="1"/>
  <c r="K57" i="1"/>
  <c r="K59" i="1" s="1"/>
  <c r="F57" i="1"/>
  <c r="F59" i="1" s="1"/>
  <c r="B57" i="1"/>
  <c r="W57" i="1" s="1"/>
  <c r="L56" i="1"/>
  <c r="W56" i="1" s="1"/>
  <c r="W55" i="1"/>
  <c r="V54" i="1"/>
  <c r="U54" i="1"/>
  <c r="T54" i="1"/>
  <c r="S54" i="1"/>
  <c r="Q54" i="1"/>
  <c r="P54" i="1"/>
  <c r="N54" i="1"/>
  <c r="M54" i="1"/>
  <c r="L54" i="1"/>
  <c r="K54" i="1"/>
  <c r="J54" i="1"/>
  <c r="I54" i="1"/>
  <c r="H54" i="1"/>
  <c r="G54" i="1"/>
  <c r="F54" i="1"/>
  <c r="E54" i="1"/>
  <c r="D54" i="1"/>
  <c r="C54" i="1"/>
  <c r="W53" i="1"/>
  <c r="R53" i="1"/>
  <c r="R54" i="1" s="1"/>
  <c r="B53" i="1"/>
  <c r="B54" i="1" s="1"/>
  <c r="W52" i="1"/>
  <c r="O52" i="1"/>
  <c r="O54" i="1" s="1"/>
  <c r="W51" i="1"/>
  <c r="R50" i="1"/>
  <c r="O50" i="1"/>
  <c r="J50" i="1"/>
  <c r="G50" i="1"/>
  <c r="V49" i="1"/>
  <c r="U49" i="1"/>
  <c r="U50" i="1" s="1"/>
  <c r="T49" i="1"/>
  <c r="S49" i="1"/>
  <c r="R49" i="1"/>
  <c r="Q49" i="1"/>
  <c r="P49" i="1"/>
  <c r="O49" i="1"/>
  <c r="N49" i="1"/>
  <c r="M49" i="1"/>
  <c r="M50" i="1" s="1"/>
  <c r="L49" i="1"/>
  <c r="K49" i="1"/>
  <c r="J49" i="1"/>
  <c r="I49" i="1"/>
  <c r="H49" i="1"/>
  <c r="G49" i="1"/>
  <c r="F49" i="1"/>
  <c r="E49" i="1"/>
  <c r="E50" i="1" s="1"/>
  <c r="D49" i="1"/>
  <c r="C49" i="1"/>
  <c r="B48" i="1"/>
  <c r="B49" i="1" s="1"/>
  <c r="C47" i="1"/>
  <c r="W47" i="1" s="1"/>
  <c r="W46" i="1"/>
  <c r="V45" i="1"/>
  <c r="V50" i="1" s="1"/>
  <c r="U45" i="1"/>
  <c r="T45" i="1"/>
  <c r="T50" i="1" s="1"/>
  <c r="S45" i="1"/>
  <c r="S50" i="1" s="1"/>
  <c r="R45" i="1"/>
  <c r="Q45" i="1"/>
  <c r="Q50" i="1" s="1"/>
  <c r="Q68" i="1" s="1"/>
  <c r="P45" i="1"/>
  <c r="P50" i="1" s="1"/>
  <c r="O45" i="1"/>
  <c r="N45" i="1"/>
  <c r="N50" i="1" s="1"/>
  <c r="N68" i="1" s="1"/>
  <c r="M45" i="1"/>
  <c r="K45" i="1"/>
  <c r="K50" i="1" s="1"/>
  <c r="J45" i="1"/>
  <c r="I45" i="1"/>
  <c r="I50" i="1" s="1"/>
  <c r="I68" i="1" s="1"/>
  <c r="H45" i="1"/>
  <c r="H50" i="1" s="1"/>
  <c r="G45" i="1"/>
  <c r="F45" i="1"/>
  <c r="F50" i="1" s="1"/>
  <c r="E45" i="1"/>
  <c r="D45" i="1"/>
  <c r="D50" i="1" s="1"/>
  <c r="C45" i="1"/>
  <c r="C50" i="1" s="1"/>
  <c r="B45" i="1"/>
  <c r="W45" i="1" s="1"/>
  <c r="L44" i="1"/>
  <c r="L45" i="1" s="1"/>
  <c r="W43" i="1"/>
  <c r="W42" i="1"/>
  <c r="L42" i="1"/>
  <c r="L50" i="1" s="1"/>
  <c r="W41" i="1"/>
  <c r="U40" i="1"/>
  <c r="T40" i="1"/>
  <c r="T68" i="1" s="1"/>
  <c r="S40" i="1"/>
  <c r="R40" i="1"/>
  <c r="Q40" i="1"/>
  <c r="P40" i="1"/>
  <c r="O40" i="1"/>
  <c r="N40" i="1"/>
  <c r="M40" i="1"/>
  <c r="L40" i="1"/>
  <c r="K40" i="1"/>
  <c r="J40" i="1"/>
  <c r="I40" i="1"/>
  <c r="G40" i="1"/>
  <c r="F40" i="1"/>
  <c r="E40" i="1"/>
  <c r="D40" i="1"/>
  <c r="D68" i="1" s="1"/>
  <c r="C40" i="1"/>
  <c r="B40" i="1"/>
  <c r="W40" i="1" s="1"/>
  <c r="W39" i="1"/>
  <c r="H39" i="1"/>
  <c r="H40" i="1" s="1"/>
  <c r="W38" i="1"/>
  <c r="U38" i="1"/>
  <c r="V37" i="1"/>
  <c r="V40" i="1" s="1"/>
  <c r="V68" i="1" s="1"/>
  <c r="U37" i="1"/>
  <c r="T37" i="1"/>
  <c r="W37" i="1" s="1"/>
  <c r="O37" i="1"/>
  <c r="M37" i="1"/>
  <c r="W36" i="1"/>
  <c r="K35" i="1"/>
  <c r="W35" i="1" s="1"/>
  <c r="V34" i="1"/>
  <c r="U34" i="1"/>
  <c r="T34" i="1"/>
  <c r="S34" i="1"/>
  <c r="R34" i="1"/>
  <c r="R68" i="1" s="1"/>
  <c r="Q34" i="1"/>
  <c r="P34" i="1"/>
  <c r="P68" i="1" s="1"/>
  <c r="O34" i="1"/>
  <c r="N34" i="1"/>
  <c r="M34" i="1"/>
  <c r="K34" i="1"/>
  <c r="J34" i="1"/>
  <c r="J68" i="1" s="1"/>
  <c r="I34" i="1"/>
  <c r="H34" i="1"/>
  <c r="G34" i="1"/>
  <c r="G68" i="1" s="1"/>
  <c r="F34" i="1"/>
  <c r="E34" i="1"/>
  <c r="D34" i="1"/>
  <c r="B34" i="1"/>
  <c r="M33" i="1"/>
  <c r="L33" i="1"/>
  <c r="C33" i="1"/>
  <c r="C34" i="1" s="1"/>
  <c r="W32" i="1"/>
  <c r="L32" i="1"/>
  <c r="L31" i="1"/>
  <c r="L34" i="1" s="1"/>
  <c r="L68" i="1" s="1"/>
  <c r="T27" i="1"/>
  <c r="S27" i="1"/>
  <c r="R27" i="1"/>
  <c r="Q27" i="1"/>
  <c r="P27" i="1"/>
  <c r="O27" i="1"/>
  <c r="L27" i="1"/>
  <c r="K27" i="1"/>
  <c r="J27" i="1"/>
  <c r="I27" i="1"/>
  <c r="I28" i="1" s="1"/>
  <c r="I29" i="1" s="1"/>
  <c r="I69" i="1" s="1"/>
  <c r="I70" i="1" s="1"/>
  <c r="H27" i="1"/>
  <c r="G27" i="1"/>
  <c r="F27" i="1"/>
  <c r="D27" i="1"/>
  <c r="C27" i="1"/>
  <c r="B27" i="1"/>
  <c r="W26" i="1"/>
  <c r="N26" i="1"/>
  <c r="E26" i="1"/>
  <c r="E27" i="1" s="1"/>
  <c r="D26" i="1"/>
  <c r="V25" i="1"/>
  <c r="W25" i="1" s="1"/>
  <c r="V24" i="1"/>
  <c r="V27" i="1" s="1"/>
  <c r="U24" i="1"/>
  <c r="U27" i="1" s="1"/>
  <c r="T24" i="1"/>
  <c r="N24" i="1"/>
  <c r="N27" i="1" s="1"/>
  <c r="M24" i="1"/>
  <c r="M27" i="1" s="1"/>
  <c r="D24" i="1"/>
  <c r="W24" i="1" s="1"/>
  <c r="W23" i="1"/>
  <c r="D23" i="1"/>
  <c r="W22" i="1"/>
  <c r="V21" i="1"/>
  <c r="U21" i="1"/>
  <c r="T21" i="1"/>
  <c r="S21" i="1"/>
  <c r="R21" i="1"/>
  <c r="O21" i="1"/>
  <c r="N21" i="1"/>
  <c r="M21" i="1"/>
  <c r="J21" i="1"/>
  <c r="I21" i="1"/>
  <c r="H21" i="1"/>
  <c r="G21" i="1"/>
  <c r="F21" i="1"/>
  <c r="E21" i="1"/>
  <c r="D21" i="1"/>
  <c r="B21" i="1"/>
  <c r="Q20" i="1"/>
  <c r="Q21" i="1" s="1"/>
  <c r="Q28" i="1" s="1"/>
  <c r="Q29" i="1" s="1"/>
  <c r="P20" i="1"/>
  <c r="P21" i="1" s="1"/>
  <c r="M20" i="1"/>
  <c r="L20" i="1"/>
  <c r="L21" i="1" s="1"/>
  <c r="K20" i="1"/>
  <c r="K21" i="1" s="1"/>
  <c r="I20" i="1"/>
  <c r="G20" i="1"/>
  <c r="C20" i="1"/>
  <c r="C21" i="1" s="1"/>
  <c r="W21" i="1" s="1"/>
  <c r="W19" i="1"/>
  <c r="V18" i="1"/>
  <c r="U18" i="1"/>
  <c r="T18" i="1"/>
  <c r="S18" i="1"/>
  <c r="R18" i="1"/>
  <c r="Q18" i="1"/>
  <c r="P18" i="1"/>
  <c r="O18" i="1"/>
  <c r="N18" i="1"/>
  <c r="M18" i="1"/>
  <c r="K18" i="1"/>
  <c r="J18" i="1"/>
  <c r="I18" i="1"/>
  <c r="H18" i="1"/>
  <c r="G18" i="1"/>
  <c r="F18" i="1"/>
  <c r="E18" i="1"/>
  <c r="B18" i="1"/>
  <c r="M17" i="1"/>
  <c r="D17" i="1"/>
  <c r="D18" i="1" s="1"/>
  <c r="C17" i="1"/>
  <c r="C18" i="1" s="1"/>
  <c r="W18" i="1" s="1"/>
  <c r="W16" i="1"/>
  <c r="L16" i="1"/>
  <c r="L18" i="1" s="1"/>
  <c r="W15" i="1"/>
  <c r="V14" i="1"/>
  <c r="U14" i="1"/>
  <c r="T14" i="1"/>
  <c r="T28" i="1" s="1"/>
  <c r="T29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W14" i="1" s="1"/>
  <c r="L13" i="1"/>
  <c r="W13" i="1" s="1"/>
  <c r="W12" i="1"/>
  <c r="V11" i="1"/>
  <c r="U11" i="1"/>
  <c r="U28" i="1" s="1"/>
  <c r="U29" i="1" s="1"/>
  <c r="T11" i="1"/>
  <c r="S11" i="1"/>
  <c r="S28" i="1" s="1"/>
  <c r="S29" i="1" s="1"/>
  <c r="R11" i="1"/>
  <c r="R28" i="1" s="1"/>
  <c r="R29" i="1" s="1"/>
  <c r="Q11" i="1"/>
  <c r="P11" i="1"/>
  <c r="N11" i="1"/>
  <c r="N28" i="1" s="1"/>
  <c r="N29" i="1" s="1"/>
  <c r="N69" i="1" s="1"/>
  <c r="N70" i="1" s="1"/>
  <c r="M11" i="1"/>
  <c r="M28" i="1" s="1"/>
  <c r="M29" i="1" s="1"/>
  <c r="K11" i="1"/>
  <c r="J11" i="1"/>
  <c r="J28" i="1" s="1"/>
  <c r="J29" i="1" s="1"/>
  <c r="I11" i="1"/>
  <c r="H11" i="1"/>
  <c r="H28" i="1" s="1"/>
  <c r="H29" i="1" s="1"/>
  <c r="G11" i="1"/>
  <c r="G28" i="1" s="1"/>
  <c r="G29" i="1" s="1"/>
  <c r="G69" i="1" s="1"/>
  <c r="G70" i="1" s="1"/>
  <c r="F11" i="1"/>
  <c r="F28" i="1" s="1"/>
  <c r="F29" i="1" s="1"/>
  <c r="E11" i="1"/>
  <c r="E28" i="1" s="1"/>
  <c r="E29" i="1" s="1"/>
  <c r="C11" i="1"/>
  <c r="B11" i="1"/>
  <c r="V10" i="1"/>
  <c r="W10" i="1" s="1"/>
  <c r="O9" i="1"/>
  <c r="O11" i="1" s="1"/>
  <c r="O28" i="1" s="1"/>
  <c r="O29" i="1" s="1"/>
  <c r="D9" i="1"/>
  <c r="W9" i="1" s="1"/>
  <c r="L8" i="1"/>
  <c r="W8" i="1" s="1"/>
  <c r="L7" i="1"/>
  <c r="W7" i="1" s="1"/>
  <c r="B50" i="1" l="1"/>
  <c r="W50" i="1" s="1"/>
  <c r="W49" i="1"/>
  <c r="P28" i="1"/>
  <c r="P29" i="1" s="1"/>
  <c r="P69" i="1" s="1"/>
  <c r="P70" i="1" s="1"/>
  <c r="C68" i="1"/>
  <c r="W34" i="1"/>
  <c r="H68" i="1"/>
  <c r="H69" i="1" s="1"/>
  <c r="H70" i="1" s="1"/>
  <c r="T69" i="1"/>
  <c r="T70" i="1" s="1"/>
  <c r="K68" i="1"/>
  <c r="W54" i="1"/>
  <c r="W27" i="1"/>
  <c r="S68" i="1"/>
  <c r="S69" i="1" s="1"/>
  <c r="S70" i="1" s="1"/>
  <c r="J69" i="1"/>
  <c r="J70" i="1" s="1"/>
  <c r="M68" i="1"/>
  <c r="U68" i="1"/>
  <c r="U69" i="1" s="1"/>
  <c r="U70" i="1" s="1"/>
  <c r="W67" i="1"/>
  <c r="K28" i="1"/>
  <c r="K29" i="1" s="1"/>
  <c r="K69" i="1" s="1"/>
  <c r="K70" i="1" s="1"/>
  <c r="E68" i="1"/>
  <c r="E69" i="1" s="1"/>
  <c r="E70" i="1" s="1"/>
  <c r="F68" i="1"/>
  <c r="F69" i="1" s="1"/>
  <c r="F70" i="1" s="1"/>
  <c r="R69" i="1"/>
  <c r="R70" i="1" s="1"/>
  <c r="C28" i="1"/>
  <c r="C29" i="1" s="1"/>
  <c r="M69" i="1"/>
  <c r="M70" i="1" s="1"/>
  <c r="V28" i="1"/>
  <c r="V29" i="1" s="1"/>
  <c r="V69" i="1" s="1"/>
  <c r="V70" i="1" s="1"/>
  <c r="Q69" i="1"/>
  <c r="Q70" i="1" s="1"/>
  <c r="O68" i="1"/>
  <c r="O69" i="1" s="1"/>
  <c r="O70" i="1" s="1"/>
  <c r="W63" i="1"/>
  <c r="B59" i="1"/>
  <c r="W59" i="1" s="1"/>
  <c r="D11" i="1"/>
  <c r="D28" i="1" s="1"/>
  <c r="D29" i="1" s="1"/>
  <c r="D69" i="1" s="1"/>
  <c r="D70" i="1" s="1"/>
  <c r="L11" i="1"/>
  <c r="L28" i="1" s="1"/>
  <c r="L29" i="1" s="1"/>
  <c r="L69" i="1" s="1"/>
  <c r="L70" i="1" s="1"/>
  <c r="B28" i="1"/>
  <c r="W62" i="1"/>
  <c r="W17" i="1"/>
  <c r="W20" i="1"/>
  <c r="W33" i="1"/>
  <c r="F67" i="1"/>
  <c r="W44" i="1"/>
  <c r="W31" i="1"/>
  <c r="W48" i="1"/>
  <c r="B29" i="1" l="1"/>
  <c r="W28" i="1"/>
  <c r="C69" i="1"/>
  <c r="C70" i="1" s="1"/>
  <c r="B68" i="1"/>
  <c r="W68" i="1" s="1"/>
  <c r="W11" i="1"/>
  <c r="B69" i="1" l="1"/>
  <c r="W29" i="1"/>
  <c r="B70" i="1" l="1"/>
  <c r="W70" i="1" s="1"/>
  <c r="W69" i="1"/>
</calcChain>
</file>

<file path=xl/sharedStrings.xml><?xml version="1.0" encoding="utf-8"?>
<sst xmlns="http://schemas.openxmlformats.org/spreadsheetml/2006/main" count="91" uniqueCount="91">
  <si>
    <t>Baseball Boosters</t>
  </si>
  <si>
    <t>Boys Basketball Boosters</t>
  </si>
  <si>
    <t>Boys Fencing</t>
  </si>
  <si>
    <t>Boys Golf Boosters</t>
  </si>
  <si>
    <t>Boys Lacrosse Boosters</t>
  </si>
  <si>
    <t>Boys Soccer</t>
  </si>
  <si>
    <t>Cheerleading Boosters</t>
  </si>
  <si>
    <t>Dance Team</t>
  </si>
  <si>
    <t>Drew Gibbs Fund</t>
  </si>
  <si>
    <t>Football Boosters</t>
  </si>
  <si>
    <t>General Fund</t>
  </si>
  <si>
    <t>Girls Basketball Boosters</t>
  </si>
  <si>
    <t>Girls Fencing Boosters</t>
  </si>
  <si>
    <t>Girls Lacrosse Boosters</t>
  </si>
  <si>
    <t>Girls Soccer Boosters</t>
  </si>
  <si>
    <t>Girls Volleyball</t>
  </si>
  <si>
    <t>Hockey Boosters</t>
  </si>
  <si>
    <t>Softball</t>
  </si>
  <si>
    <t>Swimming Boosters</t>
  </si>
  <si>
    <t>Track Boosters</t>
  </si>
  <si>
    <t>Wrestling Boosters</t>
  </si>
  <si>
    <t>TOTAL</t>
  </si>
  <si>
    <t>Income</t>
  </si>
  <si>
    <t xml:space="preserve">   43400 Direct Public Support</t>
  </si>
  <si>
    <t xml:space="preserve">      43420 General Membership</t>
  </si>
  <si>
    <t xml:space="preserve">      43425 Team Specific Dues</t>
  </si>
  <si>
    <t xml:space="preserve">      43450 Individ, Business Contributions</t>
  </si>
  <si>
    <t xml:space="preserve">   Total 43400 Direct Public Support</t>
  </si>
  <si>
    <t xml:space="preserve">   45000 Investments</t>
  </si>
  <si>
    <t xml:space="preserve">      45030 Interest-Savings, Short-term CD</t>
  </si>
  <si>
    <t xml:space="preserve">   Total 45000 Investments</t>
  </si>
  <si>
    <t xml:space="preserve">   46400 Other Types of Income</t>
  </si>
  <si>
    <t xml:space="preserve">      46423 Magnet Sales</t>
  </si>
  <si>
    <t xml:space="preserve">      46426 Merchandise Sales-Team Concess</t>
  </si>
  <si>
    <t xml:space="preserve">   Total 46400 Other Types of Income</t>
  </si>
  <si>
    <t xml:space="preserve">   47200 Program Income</t>
  </si>
  <si>
    <t xml:space="preserve">      47230 Membership Dues</t>
  </si>
  <si>
    <t xml:space="preserve">   Total 47200 Program Income</t>
  </si>
  <si>
    <t xml:space="preserve">   49000 Special Events Income</t>
  </si>
  <si>
    <t xml:space="preserve">      49050 Tournament Fee Revenue</t>
  </si>
  <si>
    <t xml:space="preserve">      49100 Team Dinner Ticket Sales</t>
  </si>
  <si>
    <t xml:space="preserve">      49150 Online fundraisers(Snapraise and similar)</t>
  </si>
  <si>
    <t xml:space="preserve">      49500 Other Fundraisers</t>
  </si>
  <si>
    <t xml:space="preserve">   Total 49000 Special Events Income</t>
  </si>
  <si>
    <t>Total Income</t>
  </si>
  <si>
    <t>Gross Profit</t>
  </si>
  <si>
    <t>Expenses</t>
  </si>
  <si>
    <t xml:space="preserve">   50600 Cost of Concession Stand Invent</t>
  </si>
  <si>
    <t xml:space="preserve">      50625 Cost of Sales-Concession Food</t>
  </si>
  <si>
    <t xml:space="preserve">      50626 Consession Revenue Allocation</t>
  </si>
  <si>
    <t xml:space="preserve">   Total 50600 Cost of Concession Stand Invent</t>
  </si>
  <si>
    <t xml:space="preserve">   60350 Donations</t>
  </si>
  <si>
    <t xml:space="preserve">   60900 Business Expenses</t>
  </si>
  <si>
    <t xml:space="preserve">      60910 Team Dinner Catering</t>
  </si>
  <si>
    <t xml:space="preserve">      60950 Competitions</t>
  </si>
  <si>
    <t xml:space="preserve">      60955 Tournaments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</si>
  <si>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</si>
  <si>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</si>
  <si>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</si>
  <si>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62120 Website related expenses</t>
  </si>
  <si>
    <t xml:space="preserve">         62125 Website maintenance fees</t>
  </si>
  <si>
    <t xml:space="preserve">      Total 62120 Website related expenses</t>
  </si>
  <si>
    <t xml:space="preserve">      62150 Outside Contract Services</t>
  </si>
  <si>
    <t xml:space="preserve">         62160 Photography</t>
  </si>
  <si>
    <t xml:space="preserve">         62170 Coaching Tools</t>
  </si>
  <si>
    <t xml:space="preserve">      Total 62150 Outside Contract Services</t>
  </si>
  <si>
    <t xml:space="preserve">   Total 62100 Contract Services</t>
  </si>
  <si>
    <t xml:space="preserve">   62800 Facilities and Equipment</t>
  </si>
  <si>
    <t xml:space="preserve">      62820 Team Equipment</t>
  </si>
  <si>
    <t xml:space="preserve">      62890 Facilities Rental, Park, Util</t>
  </si>
  <si>
    <t xml:space="preserve">   Total 62800 Facilities and Equipment</t>
  </si>
  <si>
    <t xml:space="preserve">   65000 Operations</t>
  </si>
  <si>
    <t xml:space="preserve">      65040 General Supplies</t>
  </si>
  <si>
    <t xml:space="preserve">      65045 Uniforms &amp; Practice Apparel</t>
  </si>
  <si>
    <t xml:space="preserve">      65060 Meals &amp; Catering</t>
  </si>
  <si>
    <t xml:space="preserve">   Total 65000 Operations</t>
  </si>
  <si>
    <t xml:space="preserve">   65100 Other Types of Expenses</t>
  </si>
  <si>
    <t xml:space="preserve">      65150 Bank Charges</t>
  </si>
  <si>
    <t xml:space="preserve">      65160 Other Costs</t>
  </si>
  <si>
    <t xml:space="preserve">   Total 65100 Other Types of Expenses</t>
  </si>
  <si>
    <t xml:space="preserve">   65200 Senior night</t>
  </si>
  <si>
    <t xml:space="preserve">   68300 Travel and Meetings</t>
  </si>
  <si>
    <t xml:space="preserve">      68320 Travel</t>
  </si>
  <si>
    <t xml:space="preserve">   Total 68300 Travel and Meetings</t>
  </si>
  <si>
    <t>Total Expenses</t>
  </si>
  <si>
    <t>Net Operating Income</t>
  </si>
  <si>
    <t>Net Income</t>
  </si>
  <si>
    <t>Sunday, Apr 07, 2024 06:15:32 PM GMT-7 - Accrual Basis</t>
  </si>
  <si>
    <t>Ramapo Athletic Boosters Inc.</t>
  </si>
  <si>
    <t>Profit and Loss by Class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</si>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</sst>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workbookViewId="0">
      <selection activeCell="C4" sqref="C4"/>
    </sheetView>
  </sheetViews>
  <sheetFormatPr defaultRowHeight="15.6" x14ac:dyDescent="0.3"/>
  <cols>
    <col min="1" max="1" width="46.44140625" style="2" customWidth="1"/>
    <col min="2" max="2" width="13.109375" style="2" bestFit="1" customWidth="1"/>
    <col min="3" max="3" width="13.5546875" style="2" customWidth="1"/>
    <col min="4" max="4" width="12.21875" style="2" bestFit="1" customWidth="1"/>
    <col min="5" max="5" width="13.5546875" style="2" bestFit="1" customWidth="1"/>
    <col min="6" max="6" width="13.109375" style="2" bestFit="1" customWidth="1"/>
    <col min="7" max="7" width="10.33203125" style="2" bestFit="1" customWidth="1"/>
    <col min="8" max="8" width="16.21875" style="2" customWidth="1"/>
    <col min="9" max="9" width="10.33203125" style="2" bestFit="1" customWidth="1"/>
    <col min="10" max="10" width="13.109375" style="2" bestFit="1" customWidth="1"/>
    <col min="11" max="11" width="12.21875" style="2" bestFit="1" customWidth="1"/>
    <col min="12" max="12" width="13.109375" style="2" bestFit="1" customWidth="1"/>
    <col min="13" max="14" width="12.21875" style="2" bestFit="1" customWidth="1"/>
    <col min="15" max="15" width="13.109375" style="2" bestFit="1" customWidth="1"/>
    <col min="16" max="16" width="10.33203125" style="2" bestFit="1" customWidth="1"/>
    <col min="17" max="17" width="11.44140625" style="2" customWidth="1"/>
    <col min="18" max="20" width="13.109375" style="2" bestFit="1" customWidth="1"/>
    <col min="21" max="22" width="12.21875" style="2" bestFit="1" customWidth="1"/>
    <col min="23" max="23" width="13.5546875" style="2" bestFit="1" customWidth="1"/>
    <col min="24" max="16384" width="8.88671875" style="2"/>
  </cols>
  <sheetData>
    <row r="1" spans="1:23" x14ac:dyDescent="0.3">
      <c r="A1" s="11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3">
      <c r="A2" s="11" t="s">
        <v>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3">
      <c r="A3" s="11" t="s">
        <v>90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5" spans="1:23" ht="62.4" x14ac:dyDescent="0.3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</row>
    <row r="6" spans="1:23" x14ac:dyDescent="0.3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">
      <c r="A7" s="5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7">
        <f>193.9</f>
        <v>193.9</v>
      </c>
      <c r="M7" s="6"/>
      <c r="N7" s="6"/>
      <c r="O7" s="6"/>
      <c r="P7" s="6"/>
      <c r="Q7" s="6"/>
      <c r="R7" s="6"/>
      <c r="S7" s="6"/>
      <c r="T7" s="6"/>
      <c r="U7" s="6"/>
      <c r="V7" s="6"/>
      <c r="W7" s="7">
        <f t="shared" ref="W7:W29" si="0">((((((((((((((((((((B7)+(C7))+(D7))+(E7))+(F7))+(G7))+(H7))+(I7))+(J7))+(K7))+(L7))+(M7))+(N7))+(O7))+(P7))+(Q7))+(R7))+(S7))+(T7))+(U7))+(V7)</f>
        <v>193.9</v>
      </c>
    </row>
    <row r="8" spans="1:23" x14ac:dyDescent="0.3">
      <c r="A8" s="5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7">
        <f>1377.88</f>
        <v>1377.88</v>
      </c>
      <c r="M8" s="6"/>
      <c r="N8" s="6"/>
      <c r="O8" s="6"/>
      <c r="P8" s="6"/>
      <c r="Q8" s="6"/>
      <c r="R8" s="6"/>
      <c r="S8" s="6"/>
      <c r="T8" s="6"/>
      <c r="U8" s="6"/>
      <c r="V8" s="6"/>
      <c r="W8" s="7">
        <f t="shared" si="0"/>
        <v>1377.88</v>
      </c>
    </row>
    <row r="9" spans="1:23" x14ac:dyDescent="0.3">
      <c r="A9" s="5" t="s">
        <v>25</v>
      </c>
      <c r="B9" s="6"/>
      <c r="C9" s="6"/>
      <c r="D9" s="7">
        <f>1425</f>
        <v>1425</v>
      </c>
      <c r="E9" s="6"/>
      <c r="F9" s="6"/>
      <c r="G9" s="6"/>
      <c r="H9" s="6"/>
      <c r="I9" s="6"/>
      <c r="J9" s="6"/>
      <c r="K9" s="6"/>
      <c r="L9" s="6"/>
      <c r="M9" s="6"/>
      <c r="N9" s="6"/>
      <c r="O9" s="7">
        <f>0</f>
        <v>0</v>
      </c>
      <c r="P9" s="6"/>
      <c r="Q9" s="6"/>
      <c r="R9" s="6"/>
      <c r="S9" s="6"/>
      <c r="T9" s="6"/>
      <c r="U9" s="6"/>
      <c r="V9" s="6"/>
      <c r="W9" s="7">
        <f t="shared" si="0"/>
        <v>1425</v>
      </c>
    </row>
    <row r="10" spans="1:23" x14ac:dyDescent="0.3">
      <c r="A10" s="5" t="s">
        <v>26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>
        <f>500</f>
        <v>500</v>
      </c>
      <c r="W10" s="7">
        <f t="shared" si="0"/>
        <v>500</v>
      </c>
    </row>
    <row r="11" spans="1:23" x14ac:dyDescent="0.3">
      <c r="A11" s="5" t="s">
        <v>27</v>
      </c>
      <c r="B11" s="8">
        <f t="shared" ref="B11:V11" si="1">(((B7)+(B8))+(B9))+(B10)</f>
        <v>0</v>
      </c>
      <c r="C11" s="8">
        <f t="shared" si="1"/>
        <v>0</v>
      </c>
      <c r="D11" s="8">
        <f t="shared" si="1"/>
        <v>1425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1571.7800000000002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  <c r="U11" s="8">
        <f t="shared" si="1"/>
        <v>0</v>
      </c>
      <c r="V11" s="8">
        <f t="shared" si="1"/>
        <v>500</v>
      </c>
      <c r="W11" s="8">
        <f t="shared" si="0"/>
        <v>3496.78</v>
      </c>
    </row>
    <row r="12" spans="1:23" x14ac:dyDescent="0.3">
      <c r="A12" s="5" t="s">
        <v>28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>
        <f t="shared" si="0"/>
        <v>0</v>
      </c>
    </row>
    <row r="13" spans="1:23" x14ac:dyDescent="0.3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>
        <f>7.31</f>
        <v>7.31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7">
        <f t="shared" si="0"/>
        <v>7.31</v>
      </c>
    </row>
    <row r="14" spans="1:23" x14ac:dyDescent="0.3">
      <c r="A14" s="5" t="s">
        <v>30</v>
      </c>
      <c r="B14" s="8">
        <f t="shared" ref="B14:V14" si="2">(B12)+(B13)</f>
        <v>0</v>
      </c>
      <c r="C14" s="8">
        <f t="shared" si="2"/>
        <v>0</v>
      </c>
      <c r="D14" s="8">
        <f t="shared" si="2"/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7.31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8">
        <f t="shared" si="2"/>
        <v>0</v>
      </c>
      <c r="S14" s="8">
        <f t="shared" si="2"/>
        <v>0</v>
      </c>
      <c r="T14" s="8">
        <f t="shared" si="2"/>
        <v>0</v>
      </c>
      <c r="U14" s="8">
        <f t="shared" si="2"/>
        <v>0</v>
      </c>
      <c r="V14" s="8">
        <f t="shared" si="2"/>
        <v>0</v>
      </c>
      <c r="W14" s="8">
        <f t="shared" si="0"/>
        <v>7.31</v>
      </c>
    </row>
    <row r="15" spans="1:23" x14ac:dyDescent="0.3">
      <c r="A15" s="5" t="s">
        <v>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>
        <f t="shared" si="0"/>
        <v>0</v>
      </c>
    </row>
    <row r="16" spans="1:23" x14ac:dyDescent="0.3">
      <c r="A16" s="5" t="s">
        <v>32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>
        <f>39.21</f>
        <v>39.21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7">
        <f t="shared" si="0"/>
        <v>39.21</v>
      </c>
    </row>
    <row r="17" spans="1:23" ht="31.2" x14ac:dyDescent="0.3">
      <c r="A17" s="5" t="s">
        <v>33</v>
      </c>
      <c r="B17" s="6"/>
      <c r="C17" s="7">
        <f>5043.3</f>
        <v>5043.3</v>
      </c>
      <c r="D17" s="7">
        <f>110</f>
        <v>110</v>
      </c>
      <c r="E17" s="6"/>
      <c r="F17" s="6"/>
      <c r="G17" s="6"/>
      <c r="H17" s="6"/>
      <c r="I17" s="6"/>
      <c r="J17" s="6"/>
      <c r="K17" s="6"/>
      <c r="L17" s="6"/>
      <c r="M17" s="7">
        <f>1570.7</f>
        <v>1570.7</v>
      </c>
      <c r="N17" s="6"/>
      <c r="O17" s="6"/>
      <c r="P17" s="6"/>
      <c r="Q17" s="6"/>
      <c r="R17" s="6"/>
      <c r="S17" s="6"/>
      <c r="T17" s="6"/>
      <c r="U17" s="6"/>
      <c r="V17" s="6"/>
      <c r="W17" s="7">
        <f t="shared" si="0"/>
        <v>6724</v>
      </c>
    </row>
    <row r="18" spans="1:23" x14ac:dyDescent="0.3">
      <c r="A18" s="5" t="s">
        <v>34</v>
      </c>
      <c r="B18" s="8">
        <f t="shared" ref="B18:V18" si="3">((B15)+(B16))+(B17)</f>
        <v>0</v>
      </c>
      <c r="C18" s="8">
        <f t="shared" si="3"/>
        <v>5043.3</v>
      </c>
      <c r="D18" s="8">
        <f t="shared" si="3"/>
        <v>110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39.21</v>
      </c>
      <c r="M18" s="8">
        <f t="shared" si="3"/>
        <v>1570.7</v>
      </c>
      <c r="N18" s="8">
        <f t="shared" si="3"/>
        <v>0</v>
      </c>
      <c r="O18" s="8">
        <f t="shared" si="3"/>
        <v>0</v>
      </c>
      <c r="P18" s="8">
        <f t="shared" si="3"/>
        <v>0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0</v>
      </c>
      <c r="U18" s="8">
        <f t="shared" si="3"/>
        <v>0</v>
      </c>
      <c r="V18" s="8">
        <f t="shared" si="3"/>
        <v>0</v>
      </c>
      <c r="W18" s="8">
        <f t="shared" si="0"/>
        <v>6763.21</v>
      </c>
    </row>
    <row r="19" spans="1:23" x14ac:dyDescent="0.3">
      <c r="A19" s="5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>
        <f t="shared" si="0"/>
        <v>0</v>
      </c>
    </row>
    <row r="20" spans="1:23" x14ac:dyDescent="0.3">
      <c r="A20" s="5" t="s">
        <v>36</v>
      </c>
      <c r="B20" s="6"/>
      <c r="C20" s="7">
        <f>426.83</f>
        <v>426.83</v>
      </c>
      <c r="D20" s="6"/>
      <c r="E20" s="6"/>
      <c r="F20" s="6"/>
      <c r="G20" s="7">
        <f>261.19</f>
        <v>261.19</v>
      </c>
      <c r="H20" s="6"/>
      <c r="I20" s="7">
        <f>472.22</f>
        <v>472.22</v>
      </c>
      <c r="J20" s="6"/>
      <c r="K20" s="7">
        <f>434.34</f>
        <v>434.34</v>
      </c>
      <c r="L20" s="7">
        <f>-2879.84</f>
        <v>-2879.84</v>
      </c>
      <c r="M20" s="7">
        <f>500</f>
        <v>500</v>
      </c>
      <c r="N20" s="6"/>
      <c r="O20" s="6"/>
      <c r="P20" s="7">
        <f>375</f>
        <v>375</v>
      </c>
      <c r="Q20" s="7">
        <f>410.26</f>
        <v>410.26</v>
      </c>
      <c r="R20" s="6"/>
      <c r="S20" s="6"/>
      <c r="T20" s="6"/>
      <c r="U20" s="6"/>
      <c r="V20" s="6"/>
      <c r="W20" s="7">
        <f t="shared" si="0"/>
        <v>-2.2737367544323206E-13</v>
      </c>
    </row>
    <row r="21" spans="1:23" x14ac:dyDescent="0.3">
      <c r="A21" s="5" t="s">
        <v>37</v>
      </c>
      <c r="B21" s="8">
        <f t="shared" ref="B21:V21" si="4">(B19)+(B20)</f>
        <v>0</v>
      </c>
      <c r="C21" s="8">
        <f t="shared" si="4"/>
        <v>426.83</v>
      </c>
      <c r="D21" s="8">
        <f t="shared" si="4"/>
        <v>0</v>
      </c>
      <c r="E21" s="8">
        <f t="shared" si="4"/>
        <v>0</v>
      </c>
      <c r="F21" s="8">
        <f t="shared" si="4"/>
        <v>0</v>
      </c>
      <c r="G21" s="8">
        <f t="shared" si="4"/>
        <v>261.19</v>
      </c>
      <c r="H21" s="8">
        <f t="shared" si="4"/>
        <v>0</v>
      </c>
      <c r="I21" s="8">
        <f t="shared" si="4"/>
        <v>472.22</v>
      </c>
      <c r="J21" s="8">
        <f t="shared" si="4"/>
        <v>0</v>
      </c>
      <c r="K21" s="8">
        <f t="shared" si="4"/>
        <v>434.34</v>
      </c>
      <c r="L21" s="8">
        <f t="shared" si="4"/>
        <v>-2879.84</v>
      </c>
      <c r="M21" s="8">
        <f t="shared" si="4"/>
        <v>500</v>
      </c>
      <c r="N21" s="8">
        <f t="shared" si="4"/>
        <v>0</v>
      </c>
      <c r="O21" s="8">
        <f t="shared" si="4"/>
        <v>0</v>
      </c>
      <c r="P21" s="8">
        <f t="shared" si="4"/>
        <v>375</v>
      </c>
      <c r="Q21" s="8">
        <f t="shared" si="4"/>
        <v>410.26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0"/>
        <v>-2.2737367544323206E-13</v>
      </c>
    </row>
    <row r="22" spans="1:23" x14ac:dyDescent="0.3">
      <c r="A22" s="5" t="s">
        <v>38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>
        <f t="shared" si="0"/>
        <v>0</v>
      </c>
    </row>
    <row r="23" spans="1:23" x14ac:dyDescent="0.3">
      <c r="A23" s="5" t="s">
        <v>39</v>
      </c>
      <c r="B23" s="6"/>
      <c r="C23" s="6"/>
      <c r="D23" s="7">
        <f>105</f>
        <v>105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>
        <f t="shared" si="0"/>
        <v>105</v>
      </c>
    </row>
    <row r="24" spans="1:23" x14ac:dyDescent="0.3">
      <c r="A24" s="5" t="s">
        <v>40</v>
      </c>
      <c r="B24" s="6"/>
      <c r="C24" s="6"/>
      <c r="D24" s="7">
        <f>1080</f>
        <v>1080</v>
      </c>
      <c r="E24" s="6"/>
      <c r="F24" s="6"/>
      <c r="G24" s="6"/>
      <c r="H24" s="6"/>
      <c r="I24" s="6"/>
      <c r="J24" s="6"/>
      <c r="K24" s="6"/>
      <c r="L24" s="6"/>
      <c r="M24" s="7">
        <f>4125</f>
        <v>4125</v>
      </c>
      <c r="N24" s="7">
        <f>1585</f>
        <v>1585</v>
      </c>
      <c r="O24" s="6"/>
      <c r="P24" s="6"/>
      <c r="Q24" s="6"/>
      <c r="R24" s="6"/>
      <c r="S24" s="6"/>
      <c r="T24" s="7">
        <f>1090</f>
        <v>1090</v>
      </c>
      <c r="U24" s="7">
        <f>3525</f>
        <v>3525</v>
      </c>
      <c r="V24" s="7">
        <f>2965</f>
        <v>2965</v>
      </c>
      <c r="W24" s="7">
        <f t="shared" si="0"/>
        <v>14370</v>
      </c>
    </row>
    <row r="25" spans="1:23" ht="31.2" x14ac:dyDescent="0.3">
      <c r="A25" s="5" t="s">
        <v>41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>
        <f>3999</f>
        <v>3999</v>
      </c>
      <c r="W25" s="7">
        <f t="shared" si="0"/>
        <v>3999</v>
      </c>
    </row>
    <row r="26" spans="1:23" x14ac:dyDescent="0.3">
      <c r="A26" s="5" t="s">
        <v>42</v>
      </c>
      <c r="B26" s="6"/>
      <c r="C26" s="6"/>
      <c r="D26" s="7">
        <f>1527.96</f>
        <v>1527.96</v>
      </c>
      <c r="E26" s="7">
        <f>12708</f>
        <v>12708</v>
      </c>
      <c r="F26" s="6"/>
      <c r="G26" s="6"/>
      <c r="H26" s="6"/>
      <c r="I26" s="6"/>
      <c r="J26" s="6"/>
      <c r="K26" s="6"/>
      <c r="L26" s="6"/>
      <c r="M26" s="6"/>
      <c r="N26" s="7">
        <f>1448.04</f>
        <v>1448.04</v>
      </c>
      <c r="O26" s="6"/>
      <c r="P26" s="6"/>
      <c r="Q26" s="6"/>
      <c r="R26" s="6"/>
      <c r="S26" s="6"/>
      <c r="T26" s="6"/>
      <c r="U26" s="6"/>
      <c r="V26" s="6"/>
      <c r="W26" s="7">
        <f t="shared" si="0"/>
        <v>15684</v>
      </c>
    </row>
    <row r="27" spans="1:23" x14ac:dyDescent="0.3">
      <c r="A27" s="5" t="s">
        <v>43</v>
      </c>
      <c r="B27" s="8">
        <f t="shared" ref="B27:V27" si="5">((((B22)+(B23))+(B24))+(B25))+(B26)</f>
        <v>0</v>
      </c>
      <c r="C27" s="8">
        <f t="shared" si="5"/>
        <v>0</v>
      </c>
      <c r="D27" s="8">
        <f t="shared" si="5"/>
        <v>2712.96</v>
      </c>
      <c r="E27" s="8">
        <f t="shared" si="5"/>
        <v>12708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4125</v>
      </c>
      <c r="N27" s="8">
        <f t="shared" si="5"/>
        <v>3033.04</v>
      </c>
      <c r="O27" s="8">
        <f t="shared" si="5"/>
        <v>0</v>
      </c>
      <c r="P27" s="8">
        <f t="shared" si="5"/>
        <v>0</v>
      </c>
      <c r="Q27" s="8">
        <f t="shared" si="5"/>
        <v>0</v>
      </c>
      <c r="R27" s="8">
        <f t="shared" si="5"/>
        <v>0</v>
      </c>
      <c r="S27" s="8">
        <f t="shared" si="5"/>
        <v>0</v>
      </c>
      <c r="T27" s="8">
        <f t="shared" si="5"/>
        <v>1090</v>
      </c>
      <c r="U27" s="8">
        <f t="shared" si="5"/>
        <v>3525</v>
      </c>
      <c r="V27" s="8">
        <f t="shared" si="5"/>
        <v>6964</v>
      </c>
      <c r="W27" s="8">
        <f t="shared" si="0"/>
        <v>34158</v>
      </c>
    </row>
    <row r="28" spans="1:23" x14ac:dyDescent="0.3">
      <c r="A28" s="5" t="s">
        <v>44</v>
      </c>
      <c r="B28" s="8">
        <f t="shared" ref="B28:V28" si="6">((((B11)+(B14))+(B18))+(B21))+(B27)</f>
        <v>0</v>
      </c>
      <c r="C28" s="8">
        <f t="shared" si="6"/>
        <v>5470.13</v>
      </c>
      <c r="D28" s="8">
        <f t="shared" si="6"/>
        <v>4247.96</v>
      </c>
      <c r="E28" s="8">
        <f t="shared" si="6"/>
        <v>12708</v>
      </c>
      <c r="F28" s="8">
        <f t="shared" si="6"/>
        <v>0</v>
      </c>
      <c r="G28" s="8">
        <f t="shared" si="6"/>
        <v>261.19</v>
      </c>
      <c r="H28" s="8">
        <f t="shared" si="6"/>
        <v>0</v>
      </c>
      <c r="I28" s="8">
        <f t="shared" si="6"/>
        <v>472.22</v>
      </c>
      <c r="J28" s="8">
        <f t="shared" si="6"/>
        <v>0</v>
      </c>
      <c r="K28" s="8">
        <f t="shared" si="6"/>
        <v>434.34</v>
      </c>
      <c r="L28" s="8">
        <f t="shared" si="6"/>
        <v>-1261.54</v>
      </c>
      <c r="M28" s="8">
        <f t="shared" si="6"/>
        <v>6195.7</v>
      </c>
      <c r="N28" s="8">
        <f t="shared" si="6"/>
        <v>3033.04</v>
      </c>
      <c r="O28" s="8">
        <f t="shared" si="6"/>
        <v>0</v>
      </c>
      <c r="P28" s="8">
        <f t="shared" si="6"/>
        <v>375</v>
      </c>
      <c r="Q28" s="8">
        <f t="shared" si="6"/>
        <v>410.26</v>
      </c>
      <c r="R28" s="8">
        <f t="shared" si="6"/>
        <v>0</v>
      </c>
      <c r="S28" s="8">
        <f t="shared" si="6"/>
        <v>0</v>
      </c>
      <c r="T28" s="8">
        <f t="shared" si="6"/>
        <v>1090</v>
      </c>
      <c r="U28" s="8">
        <f t="shared" si="6"/>
        <v>3525</v>
      </c>
      <c r="V28" s="8">
        <f t="shared" si="6"/>
        <v>7464</v>
      </c>
      <c r="W28" s="8">
        <f t="shared" si="0"/>
        <v>44425.3</v>
      </c>
    </row>
    <row r="29" spans="1:23" x14ac:dyDescent="0.3">
      <c r="A29" s="5" t="s">
        <v>45</v>
      </c>
      <c r="B29" s="8">
        <f t="shared" ref="B29:V29" si="7">(B28)-(0)</f>
        <v>0</v>
      </c>
      <c r="C29" s="8">
        <f t="shared" si="7"/>
        <v>5470.13</v>
      </c>
      <c r="D29" s="8">
        <f t="shared" si="7"/>
        <v>4247.96</v>
      </c>
      <c r="E29" s="8">
        <f t="shared" si="7"/>
        <v>12708</v>
      </c>
      <c r="F29" s="8">
        <f t="shared" si="7"/>
        <v>0</v>
      </c>
      <c r="G29" s="8">
        <f t="shared" si="7"/>
        <v>261.19</v>
      </c>
      <c r="H29" s="8">
        <f t="shared" si="7"/>
        <v>0</v>
      </c>
      <c r="I29" s="8">
        <f t="shared" si="7"/>
        <v>472.22</v>
      </c>
      <c r="J29" s="8">
        <f t="shared" si="7"/>
        <v>0</v>
      </c>
      <c r="K29" s="8">
        <f t="shared" si="7"/>
        <v>434.34</v>
      </c>
      <c r="L29" s="8">
        <f t="shared" si="7"/>
        <v>-1261.54</v>
      </c>
      <c r="M29" s="8">
        <f t="shared" si="7"/>
        <v>6195.7</v>
      </c>
      <c r="N29" s="8">
        <f t="shared" si="7"/>
        <v>3033.04</v>
      </c>
      <c r="O29" s="8">
        <f t="shared" si="7"/>
        <v>0</v>
      </c>
      <c r="P29" s="8">
        <f t="shared" si="7"/>
        <v>375</v>
      </c>
      <c r="Q29" s="8">
        <f t="shared" si="7"/>
        <v>410.26</v>
      </c>
      <c r="R29" s="8">
        <f t="shared" si="7"/>
        <v>0</v>
      </c>
      <c r="S29" s="8">
        <f t="shared" si="7"/>
        <v>0</v>
      </c>
      <c r="T29" s="8">
        <f t="shared" si="7"/>
        <v>1090</v>
      </c>
      <c r="U29" s="8">
        <f t="shared" si="7"/>
        <v>3525</v>
      </c>
      <c r="V29" s="8">
        <f t="shared" si="7"/>
        <v>7464</v>
      </c>
      <c r="W29" s="8">
        <f t="shared" si="0"/>
        <v>44425.3</v>
      </c>
    </row>
    <row r="30" spans="1:23" x14ac:dyDescent="0.3">
      <c r="A30" s="5" t="s">
        <v>46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3">
      <c r="A31" s="5" t="s">
        <v>47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7">
        <f>282.6</f>
        <v>282.60000000000002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7">
        <f t="shared" ref="W31:W70" si="8">((((((((((((((((((((B31)+(C31))+(D31))+(E31))+(F31))+(G31))+(H31))+(I31))+(J31))+(K31))+(L31))+(M31))+(N31))+(O31))+(P31))+(Q31))+(R31))+(S31))+(T31))+(U31))+(V31)</f>
        <v>282.60000000000002</v>
      </c>
    </row>
    <row r="32" spans="1:23" x14ac:dyDescent="0.3">
      <c r="A32" s="5" t="s">
        <v>48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>1329.11</f>
        <v>1329.11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7">
        <f t="shared" si="8"/>
        <v>1329.11</v>
      </c>
    </row>
    <row r="33" spans="1:23" x14ac:dyDescent="0.3">
      <c r="A33" s="5" t="s">
        <v>49</v>
      </c>
      <c r="B33" s="6"/>
      <c r="C33" s="7">
        <f>3595</f>
        <v>3595</v>
      </c>
      <c r="D33" s="6"/>
      <c r="E33" s="6"/>
      <c r="F33" s="6"/>
      <c r="G33" s="6"/>
      <c r="H33" s="6"/>
      <c r="I33" s="6"/>
      <c r="J33" s="6"/>
      <c r="K33" s="6"/>
      <c r="L33" s="7">
        <f>-960</f>
        <v>-960</v>
      </c>
      <c r="M33" s="7">
        <f>779</f>
        <v>779</v>
      </c>
      <c r="N33" s="6"/>
      <c r="O33" s="6"/>
      <c r="P33" s="6"/>
      <c r="Q33" s="6"/>
      <c r="R33" s="6"/>
      <c r="S33" s="6"/>
      <c r="T33" s="6"/>
      <c r="U33" s="6"/>
      <c r="V33" s="6"/>
      <c r="W33" s="7">
        <f t="shared" si="8"/>
        <v>3414</v>
      </c>
    </row>
    <row r="34" spans="1:23" ht="31.2" x14ac:dyDescent="0.3">
      <c r="A34" s="5" t="s">
        <v>50</v>
      </c>
      <c r="B34" s="8">
        <f t="shared" ref="B34:V34" si="9">((B31)+(B32))+(B33)</f>
        <v>0</v>
      </c>
      <c r="C34" s="8">
        <f t="shared" si="9"/>
        <v>3595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651.71</v>
      </c>
      <c r="M34" s="8">
        <f t="shared" si="9"/>
        <v>779</v>
      </c>
      <c r="N34" s="8">
        <f t="shared" si="9"/>
        <v>0</v>
      </c>
      <c r="O34" s="8">
        <f t="shared" si="9"/>
        <v>0</v>
      </c>
      <c r="P34" s="8">
        <f t="shared" si="9"/>
        <v>0</v>
      </c>
      <c r="Q34" s="8">
        <f t="shared" si="9"/>
        <v>0</v>
      </c>
      <c r="R34" s="8">
        <f t="shared" si="9"/>
        <v>0</v>
      </c>
      <c r="S34" s="8">
        <f t="shared" si="9"/>
        <v>0</v>
      </c>
      <c r="T34" s="8">
        <f t="shared" si="9"/>
        <v>0</v>
      </c>
      <c r="U34" s="8">
        <f t="shared" si="9"/>
        <v>0</v>
      </c>
      <c r="V34" s="8">
        <f t="shared" si="9"/>
        <v>0</v>
      </c>
      <c r="W34" s="8">
        <f t="shared" si="8"/>
        <v>5025.71</v>
      </c>
    </row>
    <row r="35" spans="1:23" x14ac:dyDescent="0.3">
      <c r="A35" s="5" t="s">
        <v>51</v>
      </c>
      <c r="B35" s="6"/>
      <c r="C35" s="6"/>
      <c r="D35" s="6"/>
      <c r="E35" s="6"/>
      <c r="F35" s="6"/>
      <c r="G35" s="6"/>
      <c r="H35" s="6"/>
      <c r="I35" s="6"/>
      <c r="J35" s="6"/>
      <c r="K35" s="7">
        <f>200</f>
        <v>200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>
        <f t="shared" si="8"/>
        <v>200</v>
      </c>
    </row>
    <row r="36" spans="1:23" x14ac:dyDescent="0.3">
      <c r="A36" s="5" t="s">
        <v>52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>
        <f t="shared" si="8"/>
        <v>0</v>
      </c>
    </row>
    <row r="37" spans="1:23" x14ac:dyDescent="0.3">
      <c r="A37" s="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>
        <f>4675</f>
        <v>4675</v>
      </c>
      <c r="N37" s="6"/>
      <c r="O37" s="7">
        <f>1675</f>
        <v>1675</v>
      </c>
      <c r="P37" s="6"/>
      <c r="Q37" s="6"/>
      <c r="R37" s="6"/>
      <c r="S37" s="6"/>
      <c r="T37" s="7">
        <f>3240</f>
        <v>3240</v>
      </c>
      <c r="U37" s="7">
        <f>897</f>
        <v>897</v>
      </c>
      <c r="V37" s="7">
        <f>3350</f>
        <v>3350</v>
      </c>
      <c r="W37" s="7">
        <f t="shared" si="8"/>
        <v>13837</v>
      </c>
    </row>
    <row r="38" spans="1:23" x14ac:dyDescent="0.3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>
        <f>1989.48</f>
        <v>1989.48</v>
      </c>
      <c r="V38" s="6"/>
      <c r="W38" s="7">
        <f t="shared" si="8"/>
        <v>1989.48</v>
      </c>
    </row>
    <row r="39" spans="1:23" x14ac:dyDescent="0.3">
      <c r="A39" s="5" t="s">
        <v>55</v>
      </c>
      <c r="B39" s="6"/>
      <c r="C39" s="6"/>
      <c r="D39" s="6"/>
      <c r="E39" s="6"/>
      <c r="F39" s="6"/>
      <c r="G39" s="6"/>
      <c r="H39" s="7">
        <f>342</f>
        <v>342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>
        <f t="shared" si="8"/>
        <v>342</v>
      </c>
    </row>
    <row r="40" spans="1:23" x14ac:dyDescent="0.3">
      <c r="A40" s="5" t="s">
        <v>56</v>
      </c>
      <c r="B40" s="8">
        <f t="shared" ref="B40:V40" si="10">(((B36)+(B37))+(B38))+(B39)</f>
        <v>0</v>
      </c>
      <c r="C40" s="8">
        <f t="shared" si="10"/>
        <v>0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342</v>
      </c>
      <c r="I40" s="8">
        <f t="shared" si="10"/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8">
        <f t="shared" si="10"/>
        <v>4675</v>
      </c>
      <c r="N40" s="8">
        <f t="shared" si="10"/>
        <v>0</v>
      </c>
      <c r="O40" s="8">
        <f t="shared" si="10"/>
        <v>1675</v>
      </c>
      <c r="P40" s="8">
        <f t="shared" si="10"/>
        <v>0</v>
      </c>
      <c r="Q40" s="8">
        <f t="shared" si="10"/>
        <v>0</v>
      </c>
      <c r="R40" s="8">
        <f t="shared" si="10"/>
        <v>0</v>
      </c>
      <c r="S40" s="8">
        <f t="shared" si="10"/>
        <v>0</v>
      </c>
      <c r="T40" s="8">
        <f t="shared" si="10"/>
        <v>3240</v>
      </c>
      <c r="U40" s="8">
        <f t="shared" si="10"/>
        <v>2886.48</v>
      </c>
      <c r="V40" s="8">
        <f t="shared" si="10"/>
        <v>3350</v>
      </c>
      <c r="W40" s="8">
        <f t="shared" si="8"/>
        <v>16168.48</v>
      </c>
    </row>
    <row r="41" spans="1:23" x14ac:dyDescent="0.3">
      <c r="A41" s="5" t="s">
        <v>57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>
        <f t="shared" si="8"/>
        <v>0</v>
      </c>
    </row>
    <row r="42" spans="1:23" x14ac:dyDescent="0.3">
      <c r="A42" s="5" t="s">
        <v>58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>480</f>
        <v>480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7">
        <f t="shared" si="8"/>
        <v>480</v>
      </c>
    </row>
    <row r="43" spans="1:23" x14ac:dyDescent="0.3">
      <c r="A43" s="5" t="s">
        <v>59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>
        <f t="shared" si="8"/>
        <v>0</v>
      </c>
    </row>
    <row r="44" spans="1:23" x14ac:dyDescent="0.3">
      <c r="A44" s="5" t="s">
        <v>60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>36</f>
        <v>36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7">
        <f t="shared" si="8"/>
        <v>36</v>
      </c>
    </row>
    <row r="45" spans="1:23" x14ac:dyDescent="0.3">
      <c r="A45" s="5" t="s">
        <v>61</v>
      </c>
      <c r="B45" s="8">
        <f t="shared" ref="B45:V45" si="11">(B43)+(B44)</f>
        <v>0</v>
      </c>
      <c r="C45" s="8">
        <f t="shared" si="11"/>
        <v>0</v>
      </c>
      <c r="D45" s="8">
        <f t="shared" si="11"/>
        <v>0</v>
      </c>
      <c r="E45" s="8">
        <f t="shared" si="11"/>
        <v>0</v>
      </c>
      <c r="F45" s="8">
        <f t="shared" si="11"/>
        <v>0</v>
      </c>
      <c r="G45" s="8">
        <f t="shared" si="11"/>
        <v>0</v>
      </c>
      <c r="H45" s="8">
        <f t="shared" si="11"/>
        <v>0</v>
      </c>
      <c r="I45" s="8">
        <f t="shared" si="11"/>
        <v>0</v>
      </c>
      <c r="J45" s="8">
        <f t="shared" si="11"/>
        <v>0</v>
      </c>
      <c r="K45" s="8">
        <f t="shared" si="11"/>
        <v>0</v>
      </c>
      <c r="L45" s="8">
        <f t="shared" si="11"/>
        <v>36</v>
      </c>
      <c r="M45" s="8">
        <f t="shared" si="11"/>
        <v>0</v>
      </c>
      <c r="N45" s="8">
        <f t="shared" si="11"/>
        <v>0</v>
      </c>
      <c r="O45" s="8">
        <f t="shared" si="11"/>
        <v>0</v>
      </c>
      <c r="P45" s="8">
        <f t="shared" si="11"/>
        <v>0</v>
      </c>
      <c r="Q45" s="8">
        <f t="shared" si="11"/>
        <v>0</v>
      </c>
      <c r="R45" s="8">
        <f t="shared" si="11"/>
        <v>0</v>
      </c>
      <c r="S45" s="8">
        <f t="shared" si="11"/>
        <v>0</v>
      </c>
      <c r="T45" s="8">
        <f t="shared" si="11"/>
        <v>0</v>
      </c>
      <c r="U45" s="8">
        <f t="shared" si="11"/>
        <v>0</v>
      </c>
      <c r="V45" s="8">
        <f t="shared" si="11"/>
        <v>0</v>
      </c>
      <c r="W45" s="8">
        <f t="shared" si="8"/>
        <v>36</v>
      </c>
    </row>
    <row r="46" spans="1:23" x14ac:dyDescent="0.3">
      <c r="A46" s="5" t="s">
        <v>62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>
        <f t="shared" si="8"/>
        <v>0</v>
      </c>
    </row>
    <row r="47" spans="1:23" x14ac:dyDescent="0.3">
      <c r="A47" s="5" t="s">
        <v>63</v>
      </c>
      <c r="B47" s="6"/>
      <c r="C47" s="7">
        <f>2360</f>
        <v>2360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>
        <f t="shared" si="8"/>
        <v>2360</v>
      </c>
    </row>
    <row r="48" spans="1:23" x14ac:dyDescent="0.3">
      <c r="A48" s="5" t="s">
        <v>64</v>
      </c>
      <c r="B48" s="7">
        <f>75</f>
        <v>75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>
        <f t="shared" si="8"/>
        <v>75</v>
      </c>
    </row>
    <row r="49" spans="1:23" x14ac:dyDescent="0.3">
      <c r="A49" s="5" t="s">
        <v>65</v>
      </c>
      <c r="B49" s="8">
        <f t="shared" ref="B49:V49" si="12">((B46)+(B47))+(B48)</f>
        <v>75</v>
      </c>
      <c r="C49" s="8">
        <f t="shared" si="12"/>
        <v>2360</v>
      </c>
      <c r="D49" s="8">
        <f t="shared" si="12"/>
        <v>0</v>
      </c>
      <c r="E49" s="8">
        <f t="shared" si="12"/>
        <v>0</v>
      </c>
      <c r="F49" s="8">
        <f t="shared" si="12"/>
        <v>0</v>
      </c>
      <c r="G49" s="8">
        <f t="shared" si="12"/>
        <v>0</v>
      </c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2"/>
        <v>0</v>
      </c>
      <c r="O49" s="8">
        <f t="shared" si="12"/>
        <v>0</v>
      </c>
      <c r="P49" s="8">
        <f t="shared" si="12"/>
        <v>0</v>
      </c>
      <c r="Q49" s="8">
        <f t="shared" si="12"/>
        <v>0</v>
      </c>
      <c r="R49" s="8">
        <f t="shared" si="12"/>
        <v>0</v>
      </c>
      <c r="S49" s="8">
        <f t="shared" si="12"/>
        <v>0</v>
      </c>
      <c r="T49" s="8">
        <f t="shared" si="12"/>
        <v>0</v>
      </c>
      <c r="U49" s="8">
        <f t="shared" si="12"/>
        <v>0</v>
      </c>
      <c r="V49" s="8">
        <f t="shared" si="12"/>
        <v>0</v>
      </c>
      <c r="W49" s="8">
        <f t="shared" si="8"/>
        <v>2435</v>
      </c>
    </row>
    <row r="50" spans="1:23" x14ac:dyDescent="0.3">
      <c r="A50" s="5" t="s">
        <v>66</v>
      </c>
      <c r="B50" s="8">
        <f t="shared" ref="B50:V50" si="13">(((B41)+(B42))+(B45))+(B49)</f>
        <v>75</v>
      </c>
      <c r="C50" s="8">
        <f t="shared" si="13"/>
        <v>2360</v>
      </c>
      <c r="D50" s="8">
        <f t="shared" si="13"/>
        <v>0</v>
      </c>
      <c r="E50" s="8">
        <f t="shared" si="13"/>
        <v>0</v>
      </c>
      <c r="F50" s="8">
        <f t="shared" si="13"/>
        <v>0</v>
      </c>
      <c r="G50" s="8">
        <f t="shared" si="13"/>
        <v>0</v>
      </c>
      <c r="H50" s="8">
        <f t="shared" si="13"/>
        <v>0</v>
      </c>
      <c r="I50" s="8">
        <f t="shared" si="13"/>
        <v>0</v>
      </c>
      <c r="J50" s="8">
        <f t="shared" si="13"/>
        <v>0</v>
      </c>
      <c r="K50" s="8">
        <f t="shared" si="13"/>
        <v>0</v>
      </c>
      <c r="L50" s="8">
        <f t="shared" si="13"/>
        <v>516</v>
      </c>
      <c r="M50" s="8">
        <f t="shared" si="13"/>
        <v>0</v>
      </c>
      <c r="N50" s="8">
        <f t="shared" si="13"/>
        <v>0</v>
      </c>
      <c r="O50" s="8">
        <f t="shared" si="13"/>
        <v>0</v>
      </c>
      <c r="P50" s="8">
        <f t="shared" si="13"/>
        <v>0</v>
      </c>
      <c r="Q50" s="8">
        <f t="shared" si="13"/>
        <v>0</v>
      </c>
      <c r="R50" s="8">
        <f t="shared" si="13"/>
        <v>0</v>
      </c>
      <c r="S50" s="8">
        <f t="shared" si="13"/>
        <v>0</v>
      </c>
      <c r="T50" s="8">
        <f t="shared" si="13"/>
        <v>0</v>
      </c>
      <c r="U50" s="8">
        <f t="shared" si="13"/>
        <v>0</v>
      </c>
      <c r="V50" s="8">
        <f t="shared" si="13"/>
        <v>0</v>
      </c>
      <c r="W50" s="8">
        <f t="shared" si="8"/>
        <v>2951</v>
      </c>
    </row>
    <row r="51" spans="1:23" x14ac:dyDescent="0.3">
      <c r="A51" s="5" t="s">
        <v>67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">
        <f t="shared" si="8"/>
        <v>0</v>
      </c>
    </row>
    <row r="52" spans="1:23" x14ac:dyDescent="0.3">
      <c r="A52" s="5" t="s">
        <v>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>
        <f>28.66</f>
        <v>28.66</v>
      </c>
      <c r="P52" s="6"/>
      <c r="Q52" s="6"/>
      <c r="R52" s="6"/>
      <c r="S52" s="6"/>
      <c r="T52" s="6"/>
      <c r="U52" s="6"/>
      <c r="V52" s="6"/>
      <c r="W52" s="7">
        <f t="shared" si="8"/>
        <v>28.66</v>
      </c>
    </row>
    <row r="53" spans="1:23" x14ac:dyDescent="0.3">
      <c r="A53" s="5" t="s">
        <v>69</v>
      </c>
      <c r="B53" s="7">
        <f>500</f>
        <v>500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>
        <f>1280</f>
        <v>1280</v>
      </c>
      <c r="S53" s="6"/>
      <c r="T53" s="6"/>
      <c r="U53" s="6"/>
      <c r="V53" s="6"/>
      <c r="W53" s="7">
        <f t="shared" si="8"/>
        <v>1780</v>
      </c>
    </row>
    <row r="54" spans="1:23" x14ac:dyDescent="0.3">
      <c r="A54" s="5" t="s">
        <v>70</v>
      </c>
      <c r="B54" s="8">
        <f t="shared" ref="B54:V54" si="14">((B51)+(B52))+(B53)</f>
        <v>500</v>
      </c>
      <c r="C54" s="8">
        <f t="shared" si="14"/>
        <v>0</v>
      </c>
      <c r="D54" s="8">
        <f t="shared" si="14"/>
        <v>0</v>
      </c>
      <c r="E54" s="8">
        <f t="shared" si="14"/>
        <v>0</v>
      </c>
      <c r="F54" s="8">
        <f t="shared" si="14"/>
        <v>0</v>
      </c>
      <c r="G54" s="8">
        <f t="shared" si="14"/>
        <v>0</v>
      </c>
      <c r="H54" s="8">
        <f t="shared" si="14"/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28.66</v>
      </c>
      <c r="P54" s="8">
        <f t="shared" si="14"/>
        <v>0</v>
      </c>
      <c r="Q54" s="8">
        <f t="shared" si="14"/>
        <v>0</v>
      </c>
      <c r="R54" s="8">
        <f t="shared" si="14"/>
        <v>1280</v>
      </c>
      <c r="S54" s="8">
        <f t="shared" si="14"/>
        <v>0</v>
      </c>
      <c r="T54" s="8">
        <f t="shared" si="14"/>
        <v>0</v>
      </c>
      <c r="U54" s="8">
        <f t="shared" si="14"/>
        <v>0</v>
      </c>
      <c r="V54" s="8">
        <f t="shared" si="14"/>
        <v>0</v>
      </c>
      <c r="W54" s="8">
        <f t="shared" si="8"/>
        <v>1808.6599999999999</v>
      </c>
    </row>
    <row r="55" spans="1:23" x14ac:dyDescent="0.3">
      <c r="A55" s="5" t="s">
        <v>71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>
        <f t="shared" si="8"/>
        <v>0</v>
      </c>
    </row>
    <row r="56" spans="1:23" x14ac:dyDescent="0.3">
      <c r="A56" s="5" t="s">
        <v>72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7">
        <f>35.18</f>
        <v>35.18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7">
        <f t="shared" si="8"/>
        <v>35.18</v>
      </c>
    </row>
    <row r="57" spans="1:23" x14ac:dyDescent="0.3">
      <c r="A57" s="5" t="s">
        <v>73</v>
      </c>
      <c r="B57" s="7">
        <f>9177.5</f>
        <v>9177.5</v>
      </c>
      <c r="C57" s="6"/>
      <c r="D57" s="6"/>
      <c r="E57" s="6"/>
      <c r="F57" s="7">
        <f>150.95</f>
        <v>150.94999999999999</v>
      </c>
      <c r="G57" s="6"/>
      <c r="H57" s="6"/>
      <c r="I57" s="6"/>
      <c r="J57" s="6"/>
      <c r="K57" s="7">
        <f>1095.03</f>
        <v>1095.03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>
        <f t="shared" si="8"/>
        <v>10423.480000000001</v>
      </c>
    </row>
    <row r="58" spans="1:23" x14ac:dyDescent="0.3">
      <c r="A58" s="5" t="s">
        <v>74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f>170.55</f>
        <v>170.55</v>
      </c>
      <c r="P58" s="6"/>
      <c r="Q58" s="6"/>
      <c r="R58" s="6"/>
      <c r="S58" s="6"/>
      <c r="T58" s="6"/>
      <c r="U58" s="6"/>
      <c r="V58" s="6"/>
      <c r="W58" s="7">
        <f t="shared" si="8"/>
        <v>170.55</v>
      </c>
    </row>
    <row r="59" spans="1:23" x14ac:dyDescent="0.3">
      <c r="A59" s="5" t="s">
        <v>75</v>
      </c>
      <c r="B59" s="8">
        <f t="shared" ref="B59:V59" si="15">(((B55)+(B56))+(B57))+(B58)</f>
        <v>9177.5</v>
      </c>
      <c r="C59" s="8">
        <f t="shared" si="15"/>
        <v>0</v>
      </c>
      <c r="D59" s="8">
        <f t="shared" si="15"/>
        <v>0</v>
      </c>
      <c r="E59" s="8">
        <f t="shared" si="15"/>
        <v>0</v>
      </c>
      <c r="F59" s="8">
        <f t="shared" si="15"/>
        <v>150.94999999999999</v>
      </c>
      <c r="G59" s="8">
        <f t="shared" si="15"/>
        <v>0</v>
      </c>
      <c r="H59" s="8">
        <f t="shared" si="15"/>
        <v>0</v>
      </c>
      <c r="I59" s="8">
        <f t="shared" si="15"/>
        <v>0</v>
      </c>
      <c r="J59" s="8">
        <f t="shared" si="15"/>
        <v>0</v>
      </c>
      <c r="K59" s="8">
        <f t="shared" si="15"/>
        <v>1095.03</v>
      </c>
      <c r="L59" s="8">
        <f t="shared" si="15"/>
        <v>35.18</v>
      </c>
      <c r="M59" s="8">
        <f t="shared" si="15"/>
        <v>0</v>
      </c>
      <c r="N59" s="8">
        <f t="shared" si="15"/>
        <v>0</v>
      </c>
      <c r="O59" s="8">
        <f t="shared" si="15"/>
        <v>170.55</v>
      </c>
      <c r="P59" s="8">
        <f t="shared" si="15"/>
        <v>0</v>
      </c>
      <c r="Q59" s="8">
        <f t="shared" si="15"/>
        <v>0</v>
      </c>
      <c r="R59" s="8">
        <f t="shared" si="15"/>
        <v>0</v>
      </c>
      <c r="S59" s="8">
        <f t="shared" si="15"/>
        <v>0</v>
      </c>
      <c r="T59" s="8">
        <f t="shared" si="15"/>
        <v>0</v>
      </c>
      <c r="U59" s="8">
        <f t="shared" si="15"/>
        <v>0</v>
      </c>
      <c r="V59" s="8">
        <f t="shared" si="15"/>
        <v>0</v>
      </c>
      <c r="W59" s="8">
        <f t="shared" si="8"/>
        <v>10629.210000000001</v>
      </c>
    </row>
    <row r="60" spans="1:23" x14ac:dyDescent="0.3">
      <c r="A60" s="5" t="s">
        <v>76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">
        <f t="shared" si="8"/>
        <v>0</v>
      </c>
    </row>
    <row r="61" spans="1:23" x14ac:dyDescent="0.3">
      <c r="A61" s="5" t="s">
        <v>77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>
        <f>20</f>
        <v>20</v>
      </c>
      <c r="P61" s="6"/>
      <c r="Q61" s="6"/>
      <c r="R61" s="6"/>
      <c r="S61" s="6"/>
      <c r="T61" s="6"/>
      <c r="U61" s="6"/>
      <c r="V61" s="6"/>
      <c r="W61" s="7">
        <f t="shared" si="8"/>
        <v>20</v>
      </c>
    </row>
    <row r="62" spans="1:23" x14ac:dyDescent="0.3">
      <c r="A62" s="5" t="s">
        <v>78</v>
      </c>
      <c r="B62" s="6"/>
      <c r="C62" s="6"/>
      <c r="D62" s="7">
        <f>225</f>
        <v>225</v>
      </c>
      <c r="E62" s="6"/>
      <c r="F62" s="6"/>
      <c r="G62" s="6"/>
      <c r="H62" s="6"/>
      <c r="I62" s="6"/>
      <c r="J62" s="7">
        <f>2500</f>
        <v>2500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>
        <f t="shared" si="8"/>
        <v>2725</v>
      </c>
    </row>
    <row r="63" spans="1:23" x14ac:dyDescent="0.3">
      <c r="A63" s="5" t="s">
        <v>79</v>
      </c>
      <c r="B63" s="8">
        <f t="shared" ref="B63:V63" si="16">((B60)+(B61))+(B62)</f>
        <v>0</v>
      </c>
      <c r="C63" s="8">
        <f t="shared" si="16"/>
        <v>0</v>
      </c>
      <c r="D63" s="8">
        <f t="shared" si="16"/>
        <v>225</v>
      </c>
      <c r="E63" s="8">
        <f t="shared" si="16"/>
        <v>0</v>
      </c>
      <c r="F63" s="8">
        <f t="shared" si="16"/>
        <v>0</v>
      </c>
      <c r="G63" s="8">
        <f t="shared" si="16"/>
        <v>0</v>
      </c>
      <c r="H63" s="8">
        <f t="shared" si="16"/>
        <v>0</v>
      </c>
      <c r="I63" s="8">
        <f t="shared" si="16"/>
        <v>0</v>
      </c>
      <c r="J63" s="8">
        <f t="shared" si="16"/>
        <v>2500</v>
      </c>
      <c r="K63" s="8">
        <f t="shared" si="16"/>
        <v>0</v>
      </c>
      <c r="L63" s="8">
        <f t="shared" si="16"/>
        <v>0</v>
      </c>
      <c r="M63" s="8">
        <f t="shared" si="16"/>
        <v>0</v>
      </c>
      <c r="N63" s="8">
        <f t="shared" si="16"/>
        <v>0</v>
      </c>
      <c r="O63" s="8">
        <f t="shared" si="16"/>
        <v>20</v>
      </c>
      <c r="P63" s="8">
        <f t="shared" si="16"/>
        <v>0</v>
      </c>
      <c r="Q63" s="8">
        <f t="shared" si="16"/>
        <v>0</v>
      </c>
      <c r="R63" s="8">
        <f t="shared" si="16"/>
        <v>0</v>
      </c>
      <c r="S63" s="8">
        <f t="shared" si="16"/>
        <v>0</v>
      </c>
      <c r="T63" s="8">
        <f t="shared" si="16"/>
        <v>0</v>
      </c>
      <c r="U63" s="8">
        <f t="shared" si="16"/>
        <v>0</v>
      </c>
      <c r="V63" s="8">
        <f t="shared" si="16"/>
        <v>0</v>
      </c>
      <c r="W63" s="8">
        <f t="shared" si="8"/>
        <v>2745</v>
      </c>
    </row>
    <row r="64" spans="1:23" x14ac:dyDescent="0.3">
      <c r="A64" s="5" t="s">
        <v>80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>
        <f>170</f>
        <v>170</v>
      </c>
      <c r="S64" s="6"/>
      <c r="T64" s="6"/>
      <c r="U64" s="6"/>
      <c r="V64" s="6"/>
      <c r="W64" s="7">
        <f t="shared" si="8"/>
        <v>170</v>
      </c>
    </row>
    <row r="65" spans="1:23" x14ac:dyDescent="0.3">
      <c r="A65" s="5" t="s">
        <v>81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>
        <f t="shared" si="8"/>
        <v>0</v>
      </c>
    </row>
    <row r="66" spans="1:23" x14ac:dyDescent="0.3">
      <c r="A66" s="5" t="s">
        <v>82</v>
      </c>
      <c r="B66" s="6"/>
      <c r="C66" s="6"/>
      <c r="D66" s="6"/>
      <c r="E66" s="6"/>
      <c r="F66" s="7">
        <f>1238.56</f>
        <v>1238.56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>
        <f>3924.38</f>
        <v>3924.38</v>
      </c>
      <c r="T66" s="6"/>
      <c r="U66" s="6"/>
      <c r="V66" s="6"/>
      <c r="W66" s="7">
        <f t="shared" si="8"/>
        <v>5162.9400000000005</v>
      </c>
    </row>
    <row r="67" spans="1:23" x14ac:dyDescent="0.3">
      <c r="A67" s="5" t="s">
        <v>83</v>
      </c>
      <c r="B67" s="8">
        <f t="shared" ref="B67:V67" si="17">(B65)+(B66)</f>
        <v>0</v>
      </c>
      <c r="C67" s="8">
        <f t="shared" si="17"/>
        <v>0</v>
      </c>
      <c r="D67" s="8">
        <f t="shared" si="17"/>
        <v>0</v>
      </c>
      <c r="E67" s="8">
        <f t="shared" si="17"/>
        <v>0</v>
      </c>
      <c r="F67" s="8">
        <f t="shared" si="17"/>
        <v>1238.56</v>
      </c>
      <c r="G67" s="8">
        <f t="shared" si="17"/>
        <v>0</v>
      </c>
      <c r="H67" s="8">
        <f t="shared" si="17"/>
        <v>0</v>
      </c>
      <c r="I67" s="8">
        <f t="shared" si="17"/>
        <v>0</v>
      </c>
      <c r="J67" s="8">
        <f t="shared" si="17"/>
        <v>0</v>
      </c>
      <c r="K67" s="8">
        <f t="shared" si="17"/>
        <v>0</v>
      </c>
      <c r="L67" s="8">
        <f t="shared" si="17"/>
        <v>0</v>
      </c>
      <c r="M67" s="8">
        <f t="shared" si="17"/>
        <v>0</v>
      </c>
      <c r="N67" s="8">
        <f t="shared" si="17"/>
        <v>0</v>
      </c>
      <c r="O67" s="8">
        <f t="shared" si="17"/>
        <v>0</v>
      </c>
      <c r="P67" s="8">
        <f t="shared" si="17"/>
        <v>0</v>
      </c>
      <c r="Q67" s="8">
        <f t="shared" si="17"/>
        <v>0</v>
      </c>
      <c r="R67" s="8">
        <f t="shared" si="17"/>
        <v>0</v>
      </c>
      <c r="S67" s="8">
        <f t="shared" si="17"/>
        <v>3924.38</v>
      </c>
      <c r="T67" s="8">
        <f t="shared" si="17"/>
        <v>0</v>
      </c>
      <c r="U67" s="8">
        <f t="shared" si="17"/>
        <v>0</v>
      </c>
      <c r="V67" s="8">
        <f t="shared" si="17"/>
        <v>0</v>
      </c>
      <c r="W67" s="8">
        <f t="shared" si="8"/>
        <v>5162.9400000000005</v>
      </c>
    </row>
    <row r="68" spans="1:23" x14ac:dyDescent="0.3">
      <c r="A68" s="5" t="s">
        <v>84</v>
      </c>
      <c r="B68" s="8">
        <f t="shared" ref="B68:V68" si="18">((((((((B34)+(B35))+(B40))+(B50))+(B54))+(B59))+(B63))+(B64))+(B67)</f>
        <v>9752.5</v>
      </c>
      <c r="C68" s="8">
        <f t="shared" si="18"/>
        <v>5955</v>
      </c>
      <c r="D68" s="8">
        <f t="shared" si="18"/>
        <v>225</v>
      </c>
      <c r="E68" s="8">
        <f t="shared" si="18"/>
        <v>0</v>
      </c>
      <c r="F68" s="8">
        <f t="shared" si="18"/>
        <v>1389.51</v>
      </c>
      <c r="G68" s="8">
        <f t="shared" si="18"/>
        <v>0</v>
      </c>
      <c r="H68" s="8">
        <f t="shared" si="18"/>
        <v>342</v>
      </c>
      <c r="I68" s="8">
        <f t="shared" si="18"/>
        <v>0</v>
      </c>
      <c r="J68" s="8">
        <f t="shared" si="18"/>
        <v>2500</v>
      </c>
      <c r="K68" s="8">
        <f t="shared" si="18"/>
        <v>1295.03</v>
      </c>
      <c r="L68" s="8">
        <f t="shared" si="18"/>
        <v>1202.8900000000001</v>
      </c>
      <c r="M68" s="8">
        <f t="shared" si="18"/>
        <v>5454</v>
      </c>
      <c r="N68" s="8">
        <f t="shared" si="18"/>
        <v>0</v>
      </c>
      <c r="O68" s="8">
        <f t="shared" si="18"/>
        <v>1894.21</v>
      </c>
      <c r="P68" s="8">
        <f t="shared" si="18"/>
        <v>0</v>
      </c>
      <c r="Q68" s="8">
        <f t="shared" si="18"/>
        <v>0</v>
      </c>
      <c r="R68" s="8">
        <f t="shared" si="18"/>
        <v>1450</v>
      </c>
      <c r="S68" s="8">
        <f t="shared" si="18"/>
        <v>3924.38</v>
      </c>
      <c r="T68" s="8">
        <f t="shared" si="18"/>
        <v>3240</v>
      </c>
      <c r="U68" s="8">
        <f t="shared" si="18"/>
        <v>2886.48</v>
      </c>
      <c r="V68" s="8">
        <f t="shared" si="18"/>
        <v>3350</v>
      </c>
      <c r="W68" s="8">
        <f t="shared" si="8"/>
        <v>44861</v>
      </c>
    </row>
    <row r="69" spans="1:23" x14ac:dyDescent="0.3">
      <c r="A69" s="5" t="s">
        <v>85</v>
      </c>
      <c r="B69" s="8">
        <f t="shared" ref="B69:V69" si="19">(B29)-(B68)</f>
        <v>-9752.5</v>
      </c>
      <c r="C69" s="8">
        <f t="shared" si="19"/>
        <v>-484.86999999999989</v>
      </c>
      <c r="D69" s="8">
        <f t="shared" si="19"/>
        <v>4022.96</v>
      </c>
      <c r="E69" s="8">
        <f t="shared" si="19"/>
        <v>12708</v>
      </c>
      <c r="F69" s="8">
        <f t="shared" si="19"/>
        <v>-1389.51</v>
      </c>
      <c r="G69" s="8">
        <f t="shared" si="19"/>
        <v>261.19</v>
      </c>
      <c r="H69" s="8">
        <f t="shared" si="19"/>
        <v>-342</v>
      </c>
      <c r="I69" s="8">
        <f t="shared" si="19"/>
        <v>472.22</v>
      </c>
      <c r="J69" s="8">
        <f t="shared" si="19"/>
        <v>-2500</v>
      </c>
      <c r="K69" s="8">
        <f t="shared" si="19"/>
        <v>-860.69</v>
      </c>
      <c r="L69" s="8">
        <f t="shared" si="19"/>
        <v>-2464.4300000000003</v>
      </c>
      <c r="M69" s="8">
        <f t="shared" si="19"/>
        <v>741.69999999999982</v>
      </c>
      <c r="N69" s="8">
        <f t="shared" si="19"/>
        <v>3033.04</v>
      </c>
      <c r="O69" s="8">
        <f t="shared" si="19"/>
        <v>-1894.21</v>
      </c>
      <c r="P69" s="8">
        <f t="shared" si="19"/>
        <v>375</v>
      </c>
      <c r="Q69" s="8">
        <f t="shared" si="19"/>
        <v>410.26</v>
      </c>
      <c r="R69" s="8">
        <f t="shared" si="19"/>
        <v>-1450</v>
      </c>
      <c r="S69" s="8">
        <f t="shared" si="19"/>
        <v>-3924.38</v>
      </c>
      <c r="T69" s="8">
        <f t="shared" si="19"/>
        <v>-2150</v>
      </c>
      <c r="U69" s="8">
        <f t="shared" si="19"/>
        <v>638.52</v>
      </c>
      <c r="V69" s="8">
        <f t="shared" si="19"/>
        <v>4114</v>
      </c>
      <c r="W69" s="8">
        <f t="shared" si="8"/>
        <v>-435.70000000000073</v>
      </c>
    </row>
    <row r="70" spans="1:23" x14ac:dyDescent="0.3">
      <c r="A70" s="5" t="s">
        <v>86</v>
      </c>
      <c r="B70" s="9">
        <f t="shared" ref="B70:V70" si="20">(B69)+(0)</f>
        <v>-9752.5</v>
      </c>
      <c r="C70" s="9">
        <f t="shared" si="20"/>
        <v>-484.86999999999989</v>
      </c>
      <c r="D70" s="9">
        <f t="shared" si="20"/>
        <v>4022.96</v>
      </c>
      <c r="E70" s="9">
        <f t="shared" si="20"/>
        <v>12708</v>
      </c>
      <c r="F70" s="9">
        <f t="shared" si="20"/>
        <v>-1389.51</v>
      </c>
      <c r="G70" s="9">
        <f t="shared" si="20"/>
        <v>261.19</v>
      </c>
      <c r="H70" s="9">
        <f t="shared" si="20"/>
        <v>-342</v>
      </c>
      <c r="I70" s="9">
        <f t="shared" si="20"/>
        <v>472.22</v>
      </c>
      <c r="J70" s="9">
        <f t="shared" si="20"/>
        <v>-2500</v>
      </c>
      <c r="K70" s="9">
        <f t="shared" si="20"/>
        <v>-860.69</v>
      </c>
      <c r="L70" s="9">
        <f t="shared" si="20"/>
        <v>-2464.4300000000003</v>
      </c>
      <c r="M70" s="9">
        <f t="shared" si="20"/>
        <v>741.69999999999982</v>
      </c>
      <c r="N70" s="9">
        <f t="shared" si="20"/>
        <v>3033.04</v>
      </c>
      <c r="O70" s="9">
        <f t="shared" si="20"/>
        <v>-1894.21</v>
      </c>
      <c r="P70" s="9">
        <f t="shared" si="20"/>
        <v>375</v>
      </c>
      <c r="Q70" s="9">
        <f t="shared" si="20"/>
        <v>410.26</v>
      </c>
      <c r="R70" s="9">
        <f t="shared" si="20"/>
        <v>-1450</v>
      </c>
      <c r="S70" s="9">
        <f t="shared" si="20"/>
        <v>-3924.38</v>
      </c>
      <c r="T70" s="9">
        <f t="shared" si="20"/>
        <v>-2150</v>
      </c>
      <c r="U70" s="9">
        <f t="shared" si="20"/>
        <v>638.52</v>
      </c>
      <c r="V70" s="9">
        <f t="shared" si="20"/>
        <v>4114</v>
      </c>
      <c r="W70" s="9">
        <f t="shared" si="8"/>
        <v>-435.70000000000073</v>
      </c>
    </row>
    <row r="71" spans="1:23" x14ac:dyDescent="0.3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4" spans="1:23" x14ac:dyDescent="0.3">
      <c r="A74" s="10" t="s">
        <v>87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mergeCells count="1">
    <mergeCell ref="A74:W74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by Class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2024-04-08T01:17:55Z</cp:lastPrinted>
  <dcterms:created xsi:type="dcterms:W3CDTF">2024-04-08T01:15:32Z</dcterms:created>
  <dcterms:modified xsi:type="dcterms:W3CDTF">2024-04-08T01:18:10Z</dcterms:modified>
</cp:coreProperties>
</file>