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13_ncr:1_{7ECF017F-7E21-48B4-801F-9DD8D0B7B9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Titles" localSheetId="0">'Profit and Loss by Class'!$A:$A,'Profit and Loss by Class'!$1:$5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0" i="1" l="1"/>
  <c r="AB90" i="1"/>
  <c r="AA90" i="1"/>
  <c r="Z90" i="1"/>
  <c r="Y90" i="1"/>
  <c r="X90" i="1"/>
  <c r="W90" i="1"/>
  <c r="V90" i="1"/>
  <c r="U90" i="1"/>
  <c r="T90" i="1"/>
  <c r="S90" i="1"/>
  <c r="R90" i="1"/>
  <c r="P90" i="1"/>
  <c r="O90" i="1"/>
  <c r="N90" i="1"/>
  <c r="M90" i="1"/>
  <c r="L90" i="1"/>
  <c r="K90" i="1"/>
  <c r="J90" i="1"/>
  <c r="I90" i="1"/>
  <c r="H90" i="1"/>
  <c r="F90" i="1"/>
  <c r="E90" i="1"/>
  <c r="D90" i="1"/>
  <c r="C90" i="1"/>
  <c r="B90" i="1"/>
  <c r="Z89" i="1"/>
  <c r="Q89" i="1"/>
  <c r="Q90" i="1" s="1"/>
  <c r="G89" i="1"/>
  <c r="AD89" i="1" s="1"/>
  <c r="AD88" i="1"/>
  <c r="AA87" i="1"/>
  <c r="Y87" i="1"/>
  <c r="W87" i="1"/>
  <c r="U87" i="1"/>
  <c r="S87" i="1"/>
  <c r="R87" i="1"/>
  <c r="O87" i="1"/>
  <c r="J87" i="1"/>
  <c r="E87" i="1"/>
  <c r="AD87" i="1" s="1"/>
  <c r="AC86" i="1"/>
  <c r="AB86" i="1"/>
  <c r="AA86" i="1"/>
  <c r="Z86" i="1"/>
  <c r="Y86" i="1"/>
  <c r="X86" i="1"/>
  <c r="V86" i="1"/>
  <c r="U86" i="1"/>
  <c r="T86" i="1"/>
  <c r="S86" i="1"/>
  <c r="R86" i="1"/>
  <c r="Q86" i="1"/>
  <c r="N86" i="1"/>
  <c r="M86" i="1"/>
  <c r="L86" i="1"/>
  <c r="K86" i="1"/>
  <c r="J86" i="1"/>
  <c r="I86" i="1"/>
  <c r="F86" i="1"/>
  <c r="E86" i="1"/>
  <c r="D86" i="1"/>
  <c r="C86" i="1"/>
  <c r="B86" i="1"/>
  <c r="AD86" i="1" s="1"/>
  <c r="Y85" i="1"/>
  <c r="W85" i="1"/>
  <c r="W86" i="1" s="1"/>
  <c r="P85" i="1"/>
  <c r="O85" i="1"/>
  <c r="O86" i="1" s="1"/>
  <c r="N85" i="1"/>
  <c r="J85" i="1"/>
  <c r="H85" i="1"/>
  <c r="H86" i="1" s="1"/>
  <c r="G85" i="1"/>
  <c r="AD85" i="1" s="1"/>
  <c r="E85" i="1"/>
  <c r="D85" i="1"/>
  <c r="AD84" i="1"/>
  <c r="T84" i="1"/>
  <c r="P84" i="1"/>
  <c r="P86" i="1" s="1"/>
  <c r="G84" i="1"/>
  <c r="G86" i="1" s="1"/>
  <c r="AD83" i="1"/>
  <c r="AC82" i="1"/>
  <c r="AA82" i="1"/>
  <c r="X82" i="1"/>
  <c r="W82" i="1"/>
  <c r="U82" i="1"/>
  <c r="S82" i="1"/>
  <c r="R82" i="1"/>
  <c r="Q82" i="1"/>
  <c r="N82" i="1"/>
  <c r="M82" i="1"/>
  <c r="L82" i="1"/>
  <c r="K82" i="1"/>
  <c r="I82" i="1"/>
  <c r="G82" i="1"/>
  <c r="F82" i="1"/>
  <c r="B82" i="1"/>
  <c r="Z81" i="1"/>
  <c r="Z82" i="1" s="1"/>
  <c r="T81" i="1"/>
  <c r="AD81" i="1" s="1"/>
  <c r="T80" i="1"/>
  <c r="O80" i="1"/>
  <c r="E80" i="1"/>
  <c r="AD80" i="1" s="1"/>
  <c r="D80" i="1"/>
  <c r="AA79" i="1"/>
  <c r="Y79" i="1"/>
  <c r="V79" i="1"/>
  <c r="V82" i="1" s="1"/>
  <c r="T79" i="1"/>
  <c r="Q79" i="1"/>
  <c r="O79" i="1"/>
  <c r="K79" i="1"/>
  <c r="J79" i="1"/>
  <c r="H79" i="1"/>
  <c r="G79" i="1"/>
  <c r="AD79" i="1" s="1"/>
  <c r="E79" i="1"/>
  <c r="E82" i="1" s="1"/>
  <c r="D79" i="1"/>
  <c r="D82" i="1" s="1"/>
  <c r="B79" i="1"/>
  <c r="AD78" i="1"/>
  <c r="P78" i="1"/>
  <c r="AB77" i="1"/>
  <c r="AB82" i="1" s="1"/>
  <c r="Y77" i="1"/>
  <c r="Y82" i="1" s="1"/>
  <c r="O77" i="1"/>
  <c r="AD76" i="1"/>
  <c r="O76" i="1"/>
  <c r="Y75" i="1"/>
  <c r="T75" i="1"/>
  <c r="P75" i="1"/>
  <c r="O75" i="1"/>
  <c r="AD75" i="1" s="1"/>
  <c r="J75" i="1"/>
  <c r="J82" i="1" s="1"/>
  <c r="H75" i="1"/>
  <c r="H82" i="1" s="1"/>
  <c r="G75" i="1"/>
  <c r="C75" i="1"/>
  <c r="C82" i="1" s="1"/>
  <c r="T74" i="1"/>
  <c r="T82" i="1" s="1"/>
  <c r="P74" i="1"/>
  <c r="P82" i="1" s="1"/>
  <c r="AD73" i="1"/>
  <c r="AA72" i="1"/>
  <c r="Z72" i="1"/>
  <c r="Y72" i="1"/>
  <c r="X72" i="1"/>
  <c r="W72" i="1"/>
  <c r="V72" i="1"/>
  <c r="U72" i="1"/>
  <c r="S72" i="1"/>
  <c r="Q72" i="1"/>
  <c r="N72" i="1"/>
  <c r="M72" i="1"/>
  <c r="L72" i="1"/>
  <c r="K72" i="1"/>
  <c r="I72" i="1"/>
  <c r="H72" i="1"/>
  <c r="G72" i="1"/>
  <c r="F72" i="1"/>
  <c r="E72" i="1"/>
  <c r="C72" i="1"/>
  <c r="Y71" i="1"/>
  <c r="O71" i="1"/>
  <c r="AD71" i="1" s="1"/>
  <c r="J71" i="1"/>
  <c r="B71" i="1"/>
  <c r="AB70" i="1"/>
  <c r="AB72" i="1" s="1"/>
  <c r="J70" i="1"/>
  <c r="AD70" i="1" s="1"/>
  <c r="AD69" i="1"/>
  <c r="P69" i="1"/>
  <c r="P72" i="1" s="1"/>
  <c r="AD68" i="1"/>
  <c r="AC68" i="1"/>
  <c r="AC72" i="1" s="1"/>
  <c r="V68" i="1"/>
  <c r="T68" i="1"/>
  <c r="T72" i="1" s="1"/>
  <c r="R68" i="1"/>
  <c r="R72" i="1" s="1"/>
  <c r="O68" i="1"/>
  <c r="G68" i="1"/>
  <c r="E68" i="1"/>
  <c r="D68" i="1"/>
  <c r="D72" i="1" s="1"/>
  <c r="B68" i="1"/>
  <c r="B72" i="1" s="1"/>
  <c r="AD67" i="1"/>
  <c r="AB65" i="1"/>
  <c r="AA65" i="1"/>
  <c r="Z65" i="1"/>
  <c r="Y65" i="1"/>
  <c r="X65" i="1"/>
  <c r="V65" i="1"/>
  <c r="U65" i="1"/>
  <c r="S65" i="1"/>
  <c r="R65" i="1"/>
  <c r="N65" i="1"/>
  <c r="M65" i="1"/>
  <c r="L65" i="1"/>
  <c r="K65" i="1"/>
  <c r="J65" i="1"/>
  <c r="H65" i="1"/>
  <c r="F65" i="1"/>
  <c r="E65" i="1"/>
  <c r="D65" i="1"/>
  <c r="C65" i="1"/>
  <c r="T64" i="1"/>
  <c r="AD64" i="1" s="1"/>
  <c r="H64" i="1"/>
  <c r="AC63" i="1"/>
  <c r="AC65" i="1" s="1"/>
  <c r="W63" i="1"/>
  <c r="W65" i="1" s="1"/>
  <c r="U63" i="1"/>
  <c r="T63" i="1"/>
  <c r="T65" i="1" s="1"/>
  <c r="Q63" i="1"/>
  <c r="Q65" i="1" s="1"/>
  <c r="P63" i="1"/>
  <c r="P65" i="1" s="1"/>
  <c r="O63" i="1"/>
  <c r="I63" i="1"/>
  <c r="I65" i="1" s="1"/>
  <c r="H63" i="1"/>
  <c r="G63" i="1"/>
  <c r="G65" i="1" s="1"/>
  <c r="D63" i="1"/>
  <c r="B63" i="1"/>
  <c r="B65" i="1" s="1"/>
  <c r="O62" i="1"/>
  <c r="AD62" i="1" s="1"/>
  <c r="D62" i="1"/>
  <c r="AD61" i="1"/>
  <c r="J61" i="1"/>
  <c r="AD60" i="1"/>
  <c r="AC59" i="1"/>
  <c r="AB59" i="1"/>
  <c r="AB66" i="1" s="1"/>
  <c r="AA59" i="1"/>
  <c r="AA66" i="1" s="1"/>
  <c r="Z59" i="1"/>
  <c r="Z66" i="1" s="1"/>
  <c r="Y59" i="1"/>
  <c r="Y66" i="1" s="1"/>
  <c r="X59" i="1"/>
  <c r="X66" i="1" s="1"/>
  <c r="W59" i="1"/>
  <c r="W66" i="1" s="1"/>
  <c r="V59" i="1"/>
  <c r="V66" i="1" s="1"/>
  <c r="U59" i="1"/>
  <c r="U66" i="1" s="1"/>
  <c r="T59" i="1"/>
  <c r="S59" i="1"/>
  <c r="S66" i="1" s="1"/>
  <c r="R59" i="1"/>
  <c r="R66" i="1" s="1"/>
  <c r="Q59" i="1"/>
  <c r="O59" i="1"/>
  <c r="N59" i="1"/>
  <c r="N66" i="1" s="1"/>
  <c r="M59" i="1"/>
  <c r="M66" i="1" s="1"/>
  <c r="L59" i="1"/>
  <c r="L66" i="1" s="1"/>
  <c r="K59" i="1"/>
  <c r="K66" i="1" s="1"/>
  <c r="J59" i="1"/>
  <c r="J66" i="1" s="1"/>
  <c r="I59" i="1"/>
  <c r="H59" i="1"/>
  <c r="H66" i="1" s="1"/>
  <c r="G59" i="1"/>
  <c r="F59" i="1"/>
  <c r="F66" i="1" s="1"/>
  <c r="E59" i="1"/>
  <c r="E66" i="1" s="1"/>
  <c r="D59" i="1"/>
  <c r="D66" i="1" s="1"/>
  <c r="C59" i="1"/>
  <c r="C66" i="1" s="1"/>
  <c r="B59" i="1"/>
  <c r="AD59" i="1" s="1"/>
  <c r="AD58" i="1"/>
  <c r="P58" i="1"/>
  <c r="P59" i="1" s="1"/>
  <c r="AD57" i="1"/>
  <c r="P56" i="1"/>
  <c r="P66" i="1" s="1"/>
  <c r="AD55" i="1"/>
  <c r="AB54" i="1"/>
  <c r="Z54" i="1"/>
  <c r="V54" i="1"/>
  <c r="T54" i="1"/>
  <c r="S54" i="1"/>
  <c r="R54" i="1"/>
  <c r="P54" i="1"/>
  <c r="N54" i="1"/>
  <c r="M54" i="1"/>
  <c r="L54" i="1"/>
  <c r="K54" i="1"/>
  <c r="I54" i="1"/>
  <c r="G54" i="1"/>
  <c r="F54" i="1"/>
  <c r="E54" i="1"/>
  <c r="D54" i="1"/>
  <c r="C54" i="1"/>
  <c r="T53" i="1"/>
  <c r="J53" i="1"/>
  <c r="AD53" i="1" s="1"/>
  <c r="AB52" i="1"/>
  <c r="J52" i="1"/>
  <c r="J54" i="1" s="1"/>
  <c r="AD51" i="1"/>
  <c r="B51" i="1"/>
  <c r="B54" i="1" s="1"/>
  <c r="AC50" i="1"/>
  <c r="AC54" i="1" s="1"/>
  <c r="AB50" i="1"/>
  <c r="AA50" i="1"/>
  <c r="AA54" i="1" s="1"/>
  <c r="Y50" i="1"/>
  <c r="Y54" i="1" s="1"/>
  <c r="X50" i="1"/>
  <c r="X54" i="1" s="1"/>
  <c r="W50" i="1"/>
  <c r="W54" i="1" s="1"/>
  <c r="U50" i="1"/>
  <c r="U54" i="1" s="1"/>
  <c r="T50" i="1"/>
  <c r="Q50" i="1"/>
  <c r="Q54" i="1" s="1"/>
  <c r="O50" i="1"/>
  <c r="O54" i="1" s="1"/>
  <c r="L50" i="1"/>
  <c r="J50" i="1"/>
  <c r="H50" i="1"/>
  <c r="H54" i="1" s="1"/>
  <c r="D50" i="1"/>
  <c r="AD50" i="1" s="1"/>
  <c r="AD49" i="1"/>
  <c r="W48" i="1"/>
  <c r="U48" i="1"/>
  <c r="O48" i="1"/>
  <c r="AD48" i="1" s="1"/>
  <c r="B48" i="1"/>
  <c r="AC47" i="1"/>
  <c r="AA47" i="1"/>
  <c r="Z47" i="1"/>
  <c r="X47" i="1"/>
  <c r="W47" i="1"/>
  <c r="V47" i="1"/>
  <c r="U47" i="1"/>
  <c r="T47" i="1"/>
  <c r="S47" i="1"/>
  <c r="R47" i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46" i="1"/>
  <c r="AD46" i="1" s="1"/>
  <c r="P45" i="1"/>
  <c r="P47" i="1" s="1"/>
  <c r="AB44" i="1"/>
  <c r="AB47" i="1" s="1"/>
  <c r="Z44" i="1"/>
  <c r="Y44" i="1"/>
  <c r="AD44" i="1" s="1"/>
  <c r="P44" i="1"/>
  <c r="AD43" i="1"/>
  <c r="AC42" i="1"/>
  <c r="AB42" i="1"/>
  <c r="AB91" i="1" s="1"/>
  <c r="AA42" i="1"/>
  <c r="AA91" i="1" s="1"/>
  <c r="Z42" i="1"/>
  <c r="Y42" i="1"/>
  <c r="X42" i="1"/>
  <c r="X91" i="1" s="1"/>
  <c r="W42" i="1"/>
  <c r="W91" i="1" s="1"/>
  <c r="V42" i="1"/>
  <c r="U42" i="1"/>
  <c r="U91" i="1" s="1"/>
  <c r="T42" i="1"/>
  <c r="S42" i="1"/>
  <c r="S91" i="1" s="1"/>
  <c r="R42" i="1"/>
  <c r="Q42" i="1"/>
  <c r="O42" i="1"/>
  <c r="N42" i="1"/>
  <c r="N91" i="1" s="1"/>
  <c r="M42" i="1"/>
  <c r="L42" i="1"/>
  <c r="L91" i="1" s="1"/>
  <c r="K42" i="1"/>
  <c r="K91" i="1" s="1"/>
  <c r="J42" i="1"/>
  <c r="I42" i="1"/>
  <c r="H42" i="1"/>
  <c r="G42" i="1"/>
  <c r="F42" i="1"/>
  <c r="F91" i="1" s="1"/>
  <c r="E42" i="1"/>
  <c r="D42" i="1"/>
  <c r="C42" i="1"/>
  <c r="C91" i="1" s="1"/>
  <c r="B42" i="1"/>
  <c r="AD41" i="1"/>
  <c r="Q41" i="1"/>
  <c r="P41" i="1"/>
  <c r="D41" i="1"/>
  <c r="AD40" i="1"/>
  <c r="P40" i="1"/>
  <c r="P42" i="1" s="1"/>
  <c r="AD39" i="1"/>
  <c r="P39" i="1"/>
  <c r="AD35" i="1"/>
  <c r="P35" i="1"/>
  <c r="AD34" i="1"/>
  <c r="P34" i="1"/>
  <c r="O34" i="1"/>
  <c r="Y33" i="1"/>
  <c r="W33" i="1"/>
  <c r="V33" i="1"/>
  <c r="T33" i="1"/>
  <c r="S33" i="1"/>
  <c r="Q33" i="1"/>
  <c r="P33" i="1"/>
  <c r="N33" i="1"/>
  <c r="M33" i="1"/>
  <c r="K33" i="1"/>
  <c r="I33" i="1"/>
  <c r="E33" i="1"/>
  <c r="C33" i="1"/>
  <c r="B33" i="1"/>
  <c r="Z32" i="1"/>
  <c r="Z33" i="1" s="1"/>
  <c r="Y32" i="1"/>
  <c r="R32" i="1"/>
  <c r="Q32" i="1"/>
  <c r="G32" i="1"/>
  <c r="F32" i="1"/>
  <c r="F33" i="1" s="1"/>
  <c r="E32" i="1"/>
  <c r="D32" i="1"/>
  <c r="AD32" i="1" s="1"/>
  <c r="AD31" i="1"/>
  <c r="G31" i="1"/>
  <c r="H30" i="1"/>
  <c r="H33" i="1" s="1"/>
  <c r="AC29" i="1"/>
  <c r="AB29" i="1"/>
  <c r="U29" i="1"/>
  <c r="U33" i="1" s="1"/>
  <c r="O29" i="1"/>
  <c r="O33" i="1" s="1"/>
  <c r="J29" i="1"/>
  <c r="AC28" i="1"/>
  <c r="AC33" i="1" s="1"/>
  <c r="AB28" i="1"/>
  <c r="AB33" i="1" s="1"/>
  <c r="AA28" i="1"/>
  <c r="AA33" i="1" s="1"/>
  <c r="Y28" i="1"/>
  <c r="X28" i="1"/>
  <c r="X33" i="1" s="1"/>
  <c r="R28" i="1"/>
  <c r="R33" i="1" s="1"/>
  <c r="Q28" i="1"/>
  <c r="O28" i="1"/>
  <c r="L28" i="1"/>
  <c r="L33" i="1" s="1"/>
  <c r="H28" i="1"/>
  <c r="G28" i="1"/>
  <c r="AD28" i="1" s="1"/>
  <c r="E28" i="1"/>
  <c r="AD27" i="1"/>
  <c r="J27" i="1"/>
  <c r="J33" i="1" s="1"/>
  <c r="G27" i="1"/>
  <c r="G33" i="1" s="1"/>
  <c r="E27" i="1"/>
  <c r="AD26" i="1"/>
  <c r="AC25" i="1"/>
  <c r="AB25" i="1"/>
  <c r="AA25" i="1"/>
  <c r="Z25" i="1"/>
  <c r="Y25" i="1"/>
  <c r="X25" i="1"/>
  <c r="W25" i="1"/>
  <c r="V25" i="1"/>
  <c r="T25" i="1"/>
  <c r="S25" i="1"/>
  <c r="R25" i="1"/>
  <c r="O25" i="1"/>
  <c r="N25" i="1"/>
  <c r="L25" i="1"/>
  <c r="K25" i="1"/>
  <c r="J25" i="1"/>
  <c r="I25" i="1"/>
  <c r="G25" i="1"/>
  <c r="F25" i="1"/>
  <c r="E25" i="1"/>
  <c r="C25" i="1"/>
  <c r="B25" i="1"/>
  <c r="W24" i="1"/>
  <c r="U24" i="1"/>
  <c r="U25" i="1" s="1"/>
  <c r="Q24" i="1"/>
  <c r="Q25" i="1" s="1"/>
  <c r="P24" i="1"/>
  <c r="P25" i="1" s="1"/>
  <c r="O24" i="1"/>
  <c r="M24" i="1"/>
  <c r="M25" i="1" s="1"/>
  <c r="H24" i="1"/>
  <c r="H25" i="1" s="1"/>
  <c r="D24" i="1"/>
  <c r="AD24" i="1" s="1"/>
  <c r="AD23" i="1"/>
  <c r="AC22" i="1"/>
  <c r="AB22" i="1"/>
  <c r="AA22" i="1"/>
  <c r="Z22" i="1"/>
  <c r="Y22" i="1"/>
  <c r="X22" i="1"/>
  <c r="W22" i="1"/>
  <c r="V22" i="1"/>
  <c r="U22" i="1"/>
  <c r="T22" i="1"/>
  <c r="S22" i="1"/>
  <c r="R22" i="1"/>
  <c r="N22" i="1"/>
  <c r="M22" i="1"/>
  <c r="L22" i="1"/>
  <c r="K22" i="1"/>
  <c r="J22" i="1"/>
  <c r="I22" i="1"/>
  <c r="G22" i="1"/>
  <c r="F22" i="1"/>
  <c r="D22" i="1"/>
  <c r="C22" i="1"/>
  <c r="B22" i="1"/>
  <c r="AC21" i="1"/>
  <c r="AB21" i="1"/>
  <c r="Q21" i="1"/>
  <c r="Q22" i="1" s="1"/>
  <c r="P21" i="1"/>
  <c r="O21" i="1"/>
  <c r="J21" i="1"/>
  <c r="H21" i="1"/>
  <c r="H22" i="1" s="1"/>
  <c r="E21" i="1"/>
  <c r="AD21" i="1" s="1"/>
  <c r="D21" i="1"/>
  <c r="P20" i="1"/>
  <c r="AD20" i="1" s="1"/>
  <c r="Z19" i="1"/>
  <c r="Y19" i="1"/>
  <c r="P19" i="1"/>
  <c r="P22" i="1" s="1"/>
  <c r="J19" i="1"/>
  <c r="AD19" i="1" s="1"/>
  <c r="B19" i="1"/>
  <c r="Z18" i="1"/>
  <c r="AD18" i="1" s="1"/>
  <c r="O17" i="1"/>
  <c r="O22" i="1" s="1"/>
  <c r="J17" i="1"/>
  <c r="AD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5" i="1" s="1"/>
  <c r="B15" i="1"/>
  <c r="AD14" i="1"/>
  <c r="P14" i="1"/>
  <c r="P15" i="1" s="1"/>
  <c r="AD13" i="1"/>
  <c r="AA12" i="1"/>
  <c r="AA36" i="1" s="1"/>
  <c r="AA37" i="1" s="1"/>
  <c r="AA92" i="1" s="1"/>
  <c r="AA93" i="1" s="1"/>
  <c r="X12" i="1"/>
  <c r="W12" i="1"/>
  <c r="W36" i="1" s="1"/>
  <c r="W37" i="1" s="1"/>
  <c r="V12" i="1"/>
  <c r="V36" i="1" s="1"/>
  <c r="V37" i="1" s="1"/>
  <c r="S12" i="1"/>
  <c r="S36" i="1" s="1"/>
  <c r="S37" i="1" s="1"/>
  <c r="S92" i="1" s="1"/>
  <c r="S93" i="1" s="1"/>
  <c r="R12" i="1"/>
  <c r="R36" i="1" s="1"/>
  <c r="R37" i="1" s="1"/>
  <c r="O12" i="1"/>
  <c r="N12" i="1"/>
  <c r="N36" i="1" s="1"/>
  <c r="N37" i="1" s="1"/>
  <c r="M12" i="1"/>
  <c r="M36" i="1" s="1"/>
  <c r="M37" i="1" s="1"/>
  <c r="L12" i="1"/>
  <c r="K12" i="1"/>
  <c r="K36" i="1" s="1"/>
  <c r="K37" i="1" s="1"/>
  <c r="J12" i="1"/>
  <c r="J36" i="1" s="1"/>
  <c r="J37" i="1" s="1"/>
  <c r="I12" i="1"/>
  <c r="I36" i="1" s="1"/>
  <c r="I37" i="1" s="1"/>
  <c r="G12" i="1"/>
  <c r="G36" i="1" s="1"/>
  <c r="G37" i="1" s="1"/>
  <c r="F12" i="1"/>
  <c r="F36" i="1" s="1"/>
  <c r="F37" i="1" s="1"/>
  <c r="C12" i="1"/>
  <c r="B12" i="1"/>
  <c r="B36" i="1" s="1"/>
  <c r="AC11" i="1"/>
  <c r="Y11" i="1"/>
  <c r="AD11" i="1" s="1"/>
  <c r="AA10" i="1"/>
  <c r="Z10" i="1"/>
  <c r="Y10" i="1"/>
  <c r="Y12" i="1" s="1"/>
  <c r="Y36" i="1" s="1"/>
  <c r="Y37" i="1" s="1"/>
  <c r="T10" i="1"/>
  <c r="T12" i="1" s="1"/>
  <c r="T36" i="1" s="1"/>
  <c r="T37" i="1" s="1"/>
  <c r="G10" i="1"/>
  <c r="AD10" i="1" s="1"/>
  <c r="E10" i="1"/>
  <c r="AD9" i="1"/>
  <c r="P9" i="1"/>
  <c r="AC8" i="1"/>
  <c r="AC12" i="1" s="1"/>
  <c r="AB8" i="1"/>
  <c r="AB12" i="1" s="1"/>
  <c r="AB36" i="1" s="1"/>
  <c r="AB37" i="1" s="1"/>
  <c r="AB92" i="1" s="1"/>
  <c r="AB93" i="1" s="1"/>
  <c r="Z8" i="1"/>
  <c r="Z12" i="1" s="1"/>
  <c r="W8" i="1"/>
  <c r="U8" i="1"/>
  <c r="U12" i="1" s="1"/>
  <c r="Q8" i="1"/>
  <c r="Q12" i="1" s="1"/>
  <c r="Q36" i="1" s="1"/>
  <c r="Q37" i="1" s="1"/>
  <c r="P8" i="1"/>
  <c r="O8" i="1"/>
  <c r="H8" i="1"/>
  <c r="H12" i="1" s="1"/>
  <c r="H36" i="1" s="1"/>
  <c r="H37" i="1" s="1"/>
  <c r="E8" i="1"/>
  <c r="E12" i="1" s="1"/>
  <c r="D8" i="1"/>
  <c r="AD8" i="1" s="1"/>
  <c r="AD7" i="1"/>
  <c r="P7" i="1"/>
  <c r="P12" i="1" s="1"/>
  <c r="P36" i="1" s="1"/>
  <c r="P37" i="1" s="1"/>
  <c r="K92" i="1" l="1"/>
  <c r="K93" i="1" s="1"/>
  <c r="T66" i="1"/>
  <c r="T91" i="1" s="1"/>
  <c r="T92" i="1" s="1"/>
  <c r="T93" i="1" s="1"/>
  <c r="AC36" i="1"/>
  <c r="AC37" i="1" s="1"/>
  <c r="W92" i="1"/>
  <c r="W93" i="1" s="1"/>
  <c r="P91" i="1"/>
  <c r="P92" i="1" s="1"/>
  <c r="P93" i="1" s="1"/>
  <c r="D91" i="1"/>
  <c r="AC91" i="1"/>
  <c r="L36" i="1"/>
  <c r="L37" i="1" s="1"/>
  <c r="L92" i="1" s="1"/>
  <c r="L93" i="1" s="1"/>
  <c r="X36" i="1"/>
  <c r="X37" i="1" s="1"/>
  <c r="X92" i="1" s="1"/>
  <c r="X93" i="1" s="1"/>
  <c r="E91" i="1"/>
  <c r="M91" i="1"/>
  <c r="M92" i="1" s="1"/>
  <c r="M93" i="1" s="1"/>
  <c r="V91" i="1"/>
  <c r="V92" i="1" s="1"/>
  <c r="V93" i="1" s="1"/>
  <c r="AC66" i="1"/>
  <c r="AD82" i="1"/>
  <c r="F92" i="1"/>
  <c r="F93" i="1" s="1"/>
  <c r="O36" i="1"/>
  <c r="O37" i="1" s="1"/>
  <c r="H91" i="1"/>
  <c r="H92" i="1" s="1"/>
  <c r="H93" i="1" s="1"/>
  <c r="Q91" i="1"/>
  <c r="Q92" i="1" s="1"/>
  <c r="Q93" i="1" s="1"/>
  <c r="Y91" i="1"/>
  <c r="Y92" i="1" s="1"/>
  <c r="Y93" i="1" s="1"/>
  <c r="G66" i="1"/>
  <c r="G91" i="1" s="1"/>
  <c r="G92" i="1" s="1"/>
  <c r="G93" i="1" s="1"/>
  <c r="B37" i="1"/>
  <c r="Z36" i="1"/>
  <c r="Z37" i="1" s="1"/>
  <c r="Z92" i="1" s="1"/>
  <c r="Z93" i="1" s="1"/>
  <c r="I91" i="1"/>
  <c r="R91" i="1"/>
  <c r="R92" i="1" s="1"/>
  <c r="R93" i="1" s="1"/>
  <c r="Z91" i="1"/>
  <c r="Q66" i="1"/>
  <c r="U36" i="1"/>
  <c r="U37" i="1" s="1"/>
  <c r="U92" i="1" s="1"/>
  <c r="U93" i="1" s="1"/>
  <c r="AD54" i="1"/>
  <c r="I92" i="1"/>
  <c r="I93" i="1" s="1"/>
  <c r="I66" i="1"/>
  <c r="AD90" i="1"/>
  <c r="N92" i="1"/>
  <c r="N93" i="1" s="1"/>
  <c r="AD33" i="1"/>
  <c r="O72" i="1"/>
  <c r="O82" i="1"/>
  <c r="D25" i="1"/>
  <c r="AD25" i="1" s="1"/>
  <c r="AD42" i="1"/>
  <c r="AD45" i="1"/>
  <c r="O47" i="1"/>
  <c r="AD47" i="1" s="1"/>
  <c r="O65" i="1"/>
  <c r="O66" i="1" s="1"/>
  <c r="B66" i="1"/>
  <c r="G90" i="1"/>
  <c r="AD63" i="1"/>
  <c r="AD52" i="1"/>
  <c r="AD77" i="1"/>
  <c r="AD17" i="1"/>
  <c r="E22" i="1"/>
  <c r="AD22" i="1" s="1"/>
  <c r="AD29" i="1"/>
  <c r="D33" i="1"/>
  <c r="Y47" i="1"/>
  <c r="J72" i="1"/>
  <c r="J91" i="1" s="1"/>
  <c r="J92" i="1" s="1"/>
  <c r="J93" i="1" s="1"/>
  <c r="AD74" i="1"/>
  <c r="AD30" i="1"/>
  <c r="AD56" i="1"/>
  <c r="D12" i="1"/>
  <c r="C36" i="1"/>
  <c r="C37" i="1" s="1"/>
  <c r="C92" i="1" s="1"/>
  <c r="C93" i="1" s="1"/>
  <c r="AC92" i="1" l="1"/>
  <c r="AC93" i="1" s="1"/>
  <c r="D36" i="1"/>
  <c r="D37" i="1" s="1"/>
  <c r="D92" i="1" s="1"/>
  <c r="D93" i="1" s="1"/>
  <c r="O91" i="1"/>
  <c r="E36" i="1"/>
  <c r="E37" i="1" s="1"/>
  <c r="E92" i="1" s="1"/>
  <c r="E93" i="1" s="1"/>
  <c r="AD12" i="1"/>
  <c r="AD72" i="1"/>
  <c r="AD66" i="1"/>
  <c r="AD65" i="1"/>
  <c r="B91" i="1"/>
  <c r="AD91" i="1" s="1"/>
  <c r="O92" i="1"/>
  <c r="O93" i="1" s="1"/>
  <c r="AD36" i="1" l="1"/>
  <c r="B92" i="1"/>
  <c r="AD37" i="1"/>
  <c r="B93" i="1" l="1"/>
  <c r="AD93" i="1" s="1"/>
  <c r="AD92" i="1"/>
</calcChain>
</file>

<file path=xl/sharedStrings.xml><?xml version="1.0" encoding="utf-8"?>
<sst xmlns="http://schemas.openxmlformats.org/spreadsheetml/2006/main" count="121" uniqueCount="121">
  <si>
    <t>Baseball Boosters</t>
  </si>
  <si>
    <t>Bowling Boosters</t>
  </si>
  <si>
    <t>Boys Basketball Boosters</t>
  </si>
  <si>
    <t>Boys Fencing</t>
  </si>
  <si>
    <t>Boys Golf Boosters</t>
  </si>
  <si>
    <t>Boys Lacrosse Boosters</t>
  </si>
  <si>
    <t>Boys Soccer</t>
  </si>
  <si>
    <t>Boys Volleyball</t>
  </si>
  <si>
    <t>Cheerleading Boosters</t>
  </si>
  <si>
    <t>Competetive Cheer</t>
  </si>
  <si>
    <t>Cross Country Boosters</t>
  </si>
  <si>
    <t>Dance Team</t>
  </si>
  <si>
    <t>Drew Gibbs Fund</t>
  </si>
  <si>
    <t>Football Boosters</t>
  </si>
  <si>
    <t>General Fund</t>
  </si>
  <si>
    <t>Girls Basketball Boosters</t>
  </si>
  <si>
    <t>Girls Fencing Boosters</t>
  </si>
  <si>
    <t>Girls Golf</t>
  </si>
  <si>
    <t>Girls Lacrosse Boosters</t>
  </si>
  <si>
    <t>Girls Soccer Boosters</t>
  </si>
  <si>
    <t>Girls Tennis Boosters</t>
  </si>
  <si>
    <t>Girls Volleyball</t>
  </si>
  <si>
    <t>Gymnastics Boosters</t>
  </si>
  <si>
    <t>Hockey Boosters</t>
  </si>
  <si>
    <t>Softball</t>
  </si>
  <si>
    <t>Swimming Boosters</t>
  </si>
  <si>
    <t>Track Boosters</t>
  </si>
  <si>
    <t>Wrestling Boosters</t>
  </si>
  <si>
    <t>TOTAL</t>
  </si>
  <si>
    <t>Income</t>
  </si>
  <si>
    <t xml:space="preserve">   43400 Direct Public Support</t>
  </si>
  <si>
    <t xml:space="preserve">      43415 Individual Contributions</t>
  </si>
  <si>
    <t xml:space="preserve">      43420 General Membership</t>
  </si>
  <si>
    <t xml:space="preserve">      43425 Team Specific Dues</t>
  </si>
  <si>
    <t xml:space="preserve">      43450 Individ, Business Contributions</t>
  </si>
  <si>
    <t xml:space="preserve">   Total 43400 Direct Public Support</t>
  </si>
  <si>
    <t xml:space="preserve">   45000 Investments</t>
  </si>
  <si>
    <t xml:space="preserve">      45030 Interest-Savings, Short-term CD</t>
  </si>
  <si>
    <t xml:space="preserve">   Total 45000 Investments</t>
  </si>
  <si>
    <t xml:space="preserve">   46400 Other Types of Income</t>
  </si>
  <si>
    <t xml:space="preserve">      46410 Program Advertising</t>
  </si>
  <si>
    <t xml:space="preserve">      46415 Sponsorship Revenue</t>
  </si>
  <si>
    <t xml:space="preserve">      46422 Merchandise Sales-Apparel</t>
  </si>
  <si>
    <t xml:space="preserve">      46423 Magnet Sales</t>
  </si>
  <si>
    <t xml:space="preserve">      46426 Merchandise Sales-Team Concess</t>
  </si>
  <si>
    <t xml:space="preserve">   Total 46400 Other Types of Income</t>
  </si>
  <si>
    <t xml:space="preserve">   47200 Program Income</t>
  </si>
  <si>
    <t xml:space="preserve">      47230 Membership Dues</t>
  </si>
  <si>
    <t xml:space="preserve">   Total 47200 Program Income</t>
  </si>
  <si>
    <t xml:space="preserve">   49000 Special Events Income</t>
  </si>
  <si>
    <t xml:space="preserve">      49050 Tournament Fee Revenue</t>
  </si>
  <si>
    <t xml:space="preserve">      49100 Team Dinner Ticket Sales</t>
  </si>
  <si>
    <t xml:space="preserve">      49150 Online fundraisers(Snapraise and similar)</t>
  </si>
  <si>
    <t xml:space="preserve">      49250 Team Car Wash</t>
  </si>
  <si>
    <t xml:space="preserve">      49400 Raffles</t>
  </si>
  <si>
    <t xml:space="preserve">      49500 Other Fundraisers</t>
  </si>
  <si>
    <t xml:space="preserve">   Total 49000 Special Events Income</t>
  </si>
  <si>
    <t xml:space="preserve">   Returned Check Charges</t>
  </si>
  <si>
    <t xml:space="preserve">   Services</t>
  </si>
  <si>
    <t>Total Income</t>
  </si>
  <si>
    <t>Gross Profit</t>
  </si>
  <si>
    <t>Expenses</t>
  </si>
  <si>
    <t xml:space="preserve">   50600 Cost of Concession Stand Invent</t>
  </si>
  <si>
    <t xml:space="preserve">      50625 Cost of Sales-Concession Food</t>
  </si>
  <si>
    <t xml:space="preserve">      50626 Consession Revenue Allocation</t>
  </si>
  <si>
    <t xml:space="preserve">   Total 50600 Cost of Concession Stand Invent</t>
  </si>
  <si>
    <t xml:space="preserve">   50700 Cost of Sales - Inventory Sales</t>
  </si>
  <si>
    <t xml:space="preserve">      50750 Cost of Sales-Fundraising</t>
  </si>
  <si>
    <t xml:space="preserve">      50755 Cost of Membership Giveaway</t>
  </si>
  <si>
    <t xml:space="preserve">      50760 Cost of Athlete TShirts</t>
  </si>
  <si>
    <t xml:space="preserve">   Total 50700 Cost of Sales - Inventory Sales</t>
  </si>
  <si>
    <t xml:space="preserve">   60350 Donations</t>
  </si>
  <si>
    <t xml:space="preserve">   60900 Business Expenses</t>
  </si>
  <si>
    <t xml:space="preserve">      60910 Team Dinner Catering</t>
  </si>
  <si>
    <t xml:space="preserve">      60915 Team Dinner Expenses noncater</t>
  </si>
  <si>
    <t xml:space="preserve">      60950 Competitions</t>
  </si>
  <si>
    <t xml:space="preserve">      60955 Tournaments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</si>
  <si>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</si>
  <si>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</si>
  <si>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</si>
  <si>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62120 Website related expenses</t>
  </si>
  <si>
    <t xml:space="preserve">         62125 Website maintenance fees</t>
  </si>
  <si>
    <t xml:space="preserve">      Total 62120 Website related expenses</t>
  </si>
  <si>
    <t xml:space="preserve">      62150 Outside Contract Services</t>
  </si>
  <si>
    <t xml:space="preserve">         62155 Choreography</t>
  </si>
  <si>
    <t xml:space="preserve">         62160 Photography</t>
  </si>
  <si>
    <t xml:space="preserve">         62170 Coaching Tools</t>
  </si>
  <si>
    <t xml:space="preserve">         62185 Team Training</t>
  </si>
  <si>
    <t xml:space="preserve">      Total 62150 Outside Contract Services</t>
  </si>
  <si>
    <t xml:space="preserve">   Total 62100 Contract Services</t>
  </si>
  <si>
    <t xml:space="preserve">   62800 Facilities and Equipment</t>
  </si>
  <si>
    <t xml:space="preserve">      62820 Team Equipment</t>
  </si>
  <si>
    <t xml:space="preserve">      62835 Concession Stand Equipment</t>
  </si>
  <si>
    <t xml:space="preserve">      62840 Equip Rental and Maintenance</t>
  </si>
  <si>
    <t xml:space="preserve">      62890 Facilities Rental, Park, Util</t>
  </si>
  <si>
    <t xml:space="preserve">   Total 62800 Facilities and Equipment</t>
  </si>
  <si>
    <t xml:space="preserve">   65000 Operations</t>
  </si>
  <si>
    <t xml:space="preserve">      65020 Postage, Mailing Service</t>
  </si>
  <si>
    <t xml:space="preserve">      65030 Printing and Copying</t>
  </si>
  <si>
    <t xml:space="preserve">      65032 Program Printing &amp; Design FR</t>
  </si>
  <si>
    <t xml:space="preserve">      65035 Team Supplies</t>
  </si>
  <si>
    <t xml:space="preserve">      65040 General Supplies</t>
  </si>
  <si>
    <t xml:space="preserve">      65045 Uniforms &amp; Practice Apparel</t>
  </si>
  <si>
    <t xml:space="preserve">      65060 Meals &amp; Catering</t>
  </si>
  <si>
    <t xml:space="preserve">      65065 League Fees</t>
  </si>
  <si>
    <t xml:space="preserve">   Total 65000 Operations</t>
  </si>
  <si>
    <t xml:space="preserve">   65100 Other Types of Expenses</t>
  </si>
  <si>
    <t xml:space="preserve">      65150 Bank Charges</t>
  </si>
  <si>
    <t xml:space="preserve">      65160 Other Costs</t>
  </si>
  <si>
    <t xml:space="preserve">   Total 65100 Other Types of Expenses</t>
  </si>
  <si>
    <t xml:space="preserve">   65200 Senior night</t>
  </si>
  <si>
    <t xml:space="preserve">   68300 Travel and Meetings</t>
  </si>
  <si>
    <t xml:space="preserve">      68320 Travel</t>
  </si>
  <si>
    <t xml:space="preserve">   Total 68300 Travel and Meetings</t>
  </si>
  <si>
    <t>Total Expenses</t>
  </si>
  <si>
    <t>Net Operating Income</t>
  </si>
  <si>
    <t>Net Income</t>
  </si>
  <si>
    <t>Sunday, Apr 07, 2024 06:09:55 PM GMT-7 - Accrual Basis</t>
  </si>
  <si>
    <t>Ramapo Athletic Boosters Inc.</t>
  </si>
  <si>
    <t>Profit and Loss by Class</t>
  </si>
  <si>
    <t>July 2023 -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</si>
</sst>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4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tabSelected="1" workbookViewId="0">
      <selection activeCell="D22" sqref="D22"/>
    </sheetView>
  </sheetViews>
  <sheetFormatPr defaultRowHeight="15.6" x14ac:dyDescent="0.3"/>
  <cols>
    <col min="1" max="1" width="46.44140625" style="2" customWidth="1"/>
    <col min="2" max="2" width="11.21875" style="2" customWidth="1"/>
    <col min="3" max="3" width="12.109375" style="2" customWidth="1"/>
    <col min="4" max="4" width="13.5546875" style="2" bestFit="1" customWidth="1"/>
    <col min="5" max="5" width="12.21875" style="2" bestFit="1" customWidth="1"/>
    <col min="6" max="8" width="13.5546875" style="2" bestFit="1" customWidth="1"/>
    <col min="9" max="9" width="11.109375" style="2" bestFit="1" customWidth="1"/>
    <col min="10" max="10" width="15.109375" style="2" customWidth="1"/>
    <col min="11" max="11" width="14.33203125" style="2" bestFit="1" customWidth="1"/>
    <col min="12" max="12" width="11.109375" style="2" bestFit="1" customWidth="1"/>
    <col min="13" max="13" width="10.33203125" style="2" bestFit="1" customWidth="1"/>
    <col min="14" max="14" width="13.109375" style="2" bestFit="1" customWidth="1"/>
    <col min="15" max="15" width="14.77734375" style="2" bestFit="1" customWidth="1"/>
    <col min="16" max="16" width="13.5546875" style="2" bestFit="1" customWidth="1"/>
    <col min="17" max="18" width="12.21875" style="2" bestFit="1" customWidth="1"/>
    <col min="19" max="19" width="11.109375" style="2" bestFit="1" customWidth="1"/>
    <col min="20" max="21" width="13.5546875" style="2" bestFit="1" customWidth="1"/>
    <col min="22" max="22" width="11.109375" style="2" bestFit="1" customWidth="1"/>
    <col min="23" max="23" width="12.21875" style="2" bestFit="1" customWidth="1"/>
    <col min="24" max="24" width="14" style="2" customWidth="1"/>
    <col min="25" max="26" width="13.5546875" style="2" bestFit="1" customWidth="1"/>
    <col min="27" max="27" width="12.21875" style="2" bestFit="1" customWidth="1"/>
    <col min="28" max="28" width="13.5546875" style="2" bestFit="1" customWidth="1"/>
    <col min="29" max="29" width="12.21875" style="2" bestFit="1" customWidth="1"/>
    <col min="30" max="30" width="14.77734375" style="2" bestFit="1" customWidth="1"/>
    <col min="31" max="16384" width="8.88671875" style="2"/>
  </cols>
  <sheetData>
    <row r="1" spans="1:30" x14ac:dyDescent="0.3">
      <c r="A1" s="11" t="s">
        <v>118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x14ac:dyDescent="0.3">
      <c r="A2" s="11" t="s">
        <v>119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x14ac:dyDescent="0.3">
      <c r="A3" s="11" t="s">
        <v>120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5" spans="1:30" ht="46.8" x14ac:dyDescent="0.3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4" t="s">
        <v>25</v>
      </c>
      <c r="AB5" s="4" t="s">
        <v>26</v>
      </c>
      <c r="AC5" s="4" t="s">
        <v>27</v>
      </c>
      <c r="AD5" s="4" t="s">
        <v>28</v>
      </c>
    </row>
    <row r="6" spans="1:30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">
      <c r="A7" s="5" t="s">
        <v>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>
        <f>193.9</f>
        <v>193.9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>
        <f t="shared" ref="AD7:AD37" si="0">(((((((((((((((((((((((((((B7)+(C7))+(D7))+(E7))+(F7))+(G7))+(H7))+(I7))+(J7))+(K7))+(L7))+(M7))+(N7))+(O7))+(P7))+(Q7))+(R7))+(S7))+(T7))+(U7))+(V7))+(W7))+(X7))+(Y7))+(Z7))+(AA7))+(AB7))+(AC7)</f>
        <v>193.9</v>
      </c>
    </row>
    <row r="8" spans="1:30" x14ac:dyDescent="0.3">
      <c r="A8" s="5" t="s">
        <v>31</v>
      </c>
      <c r="B8" s="6"/>
      <c r="C8" s="6"/>
      <c r="D8" s="7">
        <f>96.8</f>
        <v>96.8</v>
      </c>
      <c r="E8" s="7">
        <f>292</f>
        <v>292</v>
      </c>
      <c r="F8" s="6"/>
      <c r="G8" s="6"/>
      <c r="H8" s="7">
        <f>145.05</f>
        <v>145.05000000000001</v>
      </c>
      <c r="I8" s="6"/>
      <c r="J8" s="6"/>
      <c r="K8" s="6"/>
      <c r="L8" s="6"/>
      <c r="M8" s="6"/>
      <c r="N8" s="6"/>
      <c r="O8" s="7">
        <f>3000</f>
        <v>3000</v>
      </c>
      <c r="P8" s="7">
        <f>145.04</f>
        <v>145.04</v>
      </c>
      <c r="Q8" s="7">
        <f>193.9</f>
        <v>193.9</v>
      </c>
      <c r="R8" s="6"/>
      <c r="S8" s="6"/>
      <c r="T8" s="6"/>
      <c r="U8" s="7">
        <f>72.52</f>
        <v>72.52</v>
      </c>
      <c r="V8" s="6"/>
      <c r="W8" s="7">
        <f>1700</f>
        <v>1700</v>
      </c>
      <c r="X8" s="6"/>
      <c r="Y8" s="6"/>
      <c r="Z8" s="7">
        <f>960.05</f>
        <v>960.05</v>
      </c>
      <c r="AA8" s="6"/>
      <c r="AB8" s="7">
        <f>1320</f>
        <v>1320</v>
      </c>
      <c r="AC8" s="7">
        <f>48.25</f>
        <v>48.25</v>
      </c>
      <c r="AD8" s="7">
        <f t="shared" si="0"/>
        <v>7973.61</v>
      </c>
    </row>
    <row r="9" spans="1:30" x14ac:dyDescent="0.3">
      <c r="A9" s="5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>
        <f>19842.39</f>
        <v>19842.39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>
        <f t="shared" si="0"/>
        <v>19842.39</v>
      </c>
    </row>
    <row r="10" spans="1:30" x14ac:dyDescent="0.3">
      <c r="A10" s="5" t="s">
        <v>33</v>
      </c>
      <c r="B10" s="6"/>
      <c r="C10" s="6"/>
      <c r="D10" s="6"/>
      <c r="E10" s="7">
        <f>1425</f>
        <v>1425</v>
      </c>
      <c r="F10" s="6"/>
      <c r="G10" s="7">
        <f>22015</f>
        <v>22015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>5650</f>
        <v>5650</v>
      </c>
      <c r="U10" s="6"/>
      <c r="V10" s="6"/>
      <c r="W10" s="6"/>
      <c r="X10" s="6"/>
      <c r="Y10" s="7">
        <f>36200</f>
        <v>36200</v>
      </c>
      <c r="Z10" s="7">
        <f>9140</f>
        <v>9140</v>
      </c>
      <c r="AA10" s="7">
        <f>7307</f>
        <v>7307</v>
      </c>
      <c r="AB10" s="6"/>
      <c r="AC10" s="6"/>
      <c r="AD10" s="7">
        <f t="shared" si="0"/>
        <v>81737</v>
      </c>
    </row>
    <row r="11" spans="1:30" x14ac:dyDescent="0.3">
      <c r="A11" s="5" t="s">
        <v>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>
        <f>500</f>
        <v>500</v>
      </c>
      <c r="Z11" s="6"/>
      <c r="AA11" s="6"/>
      <c r="AB11" s="6"/>
      <c r="AC11" s="7">
        <f>1150</f>
        <v>1150</v>
      </c>
      <c r="AD11" s="7">
        <f t="shared" si="0"/>
        <v>1650</v>
      </c>
    </row>
    <row r="12" spans="1:30" x14ac:dyDescent="0.3">
      <c r="A12" s="5" t="s">
        <v>35</v>
      </c>
      <c r="B12" s="8">
        <f t="shared" ref="B12:AC12" si="1">((((B7)+(B8))+(B9))+(B10))+(B11)</f>
        <v>0</v>
      </c>
      <c r="C12" s="8">
        <f t="shared" si="1"/>
        <v>0</v>
      </c>
      <c r="D12" s="8">
        <f t="shared" si="1"/>
        <v>96.8</v>
      </c>
      <c r="E12" s="8">
        <f t="shared" si="1"/>
        <v>1717</v>
      </c>
      <c r="F12" s="8">
        <f t="shared" si="1"/>
        <v>0</v>
      </c>
      <c r="G12" s="8">
        <f t="shared" si="1"/>
        <v>22015</v>
      </c>
      <c r="H12" s="8">
        <f t="shared" si="1"/>
        <v>145.05000000000001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 t="shared" si="1"/>
        <v>0</v>
      </c>
      <c r="O12" s="8">
        <f t="shared" si="1"/>
        <v>3000</v>
      </c>
      <c r="P12" s="8">
        <f t="shared" si="1"/>
        <v>20181.329999999998</v>
      </c>
      <c r="Q12" s="8">
        <f t="shared" si="1"/>
        <v>193.9</v>
      </c>
      <c r="R12" s="8">
        <f t="shared" si="1"/>
        <v>0</v>
      </c>
      <c r="S12" s="8">
        <f t="shared" si="1"/>
        <v>0</v>
      </c>
      <c r="T12" s="8">
        <f t="shared" si="1"/>
        <v>5650</v>
      </c>
      <c r="U12" s="8">
        <f t="shared" si="1"/>
        <v>72.52</v>
      </c>
      <c r="V12" s="8">
        <f t="shared" si="1"/>
        <v>0</v>
      </c>
      <c r="W12" s="8">
        <f t="shared" si="1"/>
        <v>1700</v>
      </c>
      <c r="X12" s="8">
        <f t="shared" si="1"/>
        <v>0</v>
      </c>
      <c r="Y12" s="8">
        <f t="shared" si="1"/>
        <v>36700</v>
      </c>
      <c r="Z12" s="8">
        <f t="shared" si="1"/>
        <v>10100.049999999999</v>
      </c>
      <c r="AA12" s="8">
        <f t="shared" si="1"/>
        <v>7307</v>
      </c>
      <c r="AB12" s="8">
        <f t="shared" si="1"/>
        <v>1320</v>
      </c>
      <c r="AC12" s="8">
        <f t="shared" si="1"/>
        <v>1198.25</v>
      </c>
      <c r="AD12" s="8">
        <f t="shared" si="0"/>
        <v>111396.9</v>
      </c>
    </row>
    <row r="13" spans="1:30" x14ac:dyDescent="0.3">
      <c r="A13" s="5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>
        <f t="shared" si="0"/>
        <v>0</v>
      </c>
    </row>
    <row r="14" spans="1:30" x14ac:dyDescent="0.3">
      <c r="A14" s="5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f>68.92</f>
        <v>68.92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7">
        <f t="shared" si="0"/>
        <v>68.92</v>
      </c>
    </row>
    <row r="15" spans="1:30" x14ac:dyDescent="0.3">
      <c r="A15" s="5" t="s">
        <v>38</v>
      </c>
      <c r="B15" s="8">
        <f t="shared" ref="B15:AC15" si="2">(B13)+(B14)</f>
        <v>0</v>
      </c>
      <c r="C15" s="8">
        <f t="shared" si="2"/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  <c r="O15" s="8">
        <f t="shared" si="2"/>
        <v>0</v>
      </c>
      <c r="P15" s="8">
        <f t="shared" si="2"/>
        <v>68.92</v>
      </c>
      <c r="Q15" s="8">
        <f t="shared" si="2"/>
        <v>0</v>
      </c>
      <c r="R15" s="8">
        <f t="shared" si="2"/>
        <v>0</v>
      </c>
      <c r="S15" s="8">
        <f t="shared" si="2"/>
        <v>0</v>
      </c>
      <c r="T15" s="8">
        <f t="shared" si="2"/>
        <v>0</v>
      </c>
      <c r="U15" s="8">
        <f t="shared" si="2"/>
        <v>0</v>
      </c>
      <c r="V15" s="8">
        <f t="shared" si="2"/>
        <v>0</v>
      </c>
      <c r="W15" s="8">
        <f t="shared" si="2"/>
        <v>0</v>
      </c>
      <c r="X15" s="8">
        <f t="shared" si="2"/>
        <v>0</v>
      </c>
      <c r="Y15" s="8">
        <f t="shared" si="2"/>
        <v>0</v>
      </c>
      <c r="Z15" s="8">
        <f t="shared" si="2"/>
        <v>0</v>
      </c>
      <c r="AA15" s="8">
        <f t="shared" si="2"/>
        <v>0</v>
      </c>
      <c r="AB15" s="8">
        <f t="shared" si="2"/>
        <v>0</v>
      </c>
      <c r="AC15" s="8">
        <f t="shared" si="2"/>
        <v>0</v>
      </c>
      <c r="AD15" s="8">
        <f t="shared" si="0"/>
        <v>68.92</v>
      </c>
    </row>
    <row r="16" spans="1:30" x14ac:dyDescent="0.3">
      <c r="A16" s="5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7">
        <f t="shared" si="0"/>
        <v>0</v>
      </c>
    </row>
    <row r="17" spans="1:30" x14ac:dyDescent="0.3">
      <c r="A17" s="5" t="s">
        <v>40</v>
      </c>
      <c r="B17" s="6"/>
      <c r="C17" s="6"/>
      <c r="D17" s="6"/>
      <c r="E17" s="6"/>
      <c r="F17" s="6"/>
      <c r="G17" s="6"/>
      <c r="H17" s="6"/>
      <c r="I17" s="6"/>
      <c r="J17" s="7">
        <f>400</f>
        <v>400</v>
      </c>
      <c r="K17" s="6"/>
      <c r="L17" s="6"/>
      <c r="M17" s="6"/>
      <c r="N17" s="6"/>
      <c r="O17" s="7">
        <f>10385</f>
        <v>10385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7">
        <f t="shared" si="0"/>
        <v>10785</v>
      </c>
    </row>
    <row r="18" spans="1:30" x14ac:dyDescent="0.3">
      <c r="A18" s="5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>
        <f>4650</f>
        <v>4650</v>
      </c>
      <c r="AA18" s="6"/>
      <c r="AB18" s="6"/>
      <c r="AC18" s="6"/>
      <c r="AD18" s="7">
        <f t="shared" si="0"/>
        <v>4650</v>
      </c>
    </row>
    <row r="19" spans="1:30" x14ac:dyDescent="0.3">
      <c r="A19" s="5" t="s">
        <v>42</v>
      </c>
      <c r="B19" s="7">
        <f>928</f>
        <v>928</v>
      </c>
      <c r="C19" s="6"/>
      <c r="D19" s="6"/>
      <c r="E19" s="6"/>
      <c r="F19" s="6"/>
      <c r="G19" s="6"/>
      <c r="H19" s="6"/>
      <c r="I19" s="6"/>
      <c r="J19" s="7">
        <f>3510</f>
        <v>3510</v>
      </c>
      <c r="K19" s="6"/>
      <c r="L19" s="6"/>
      <c r="M19" s="6"/>
      <c r="N19" s="6"/>
      <c r="O19" s="6"/>
      <c r="P19" s="7">
        <f>424.26</f>
        <v>424.26</v>
      </c>
      <c r="Q19" s="6"/>
      <c r="R19" s="6"/>
      <c r="S19" s="6"/>
      <c r="T19" s="6"/>
      <c r="U19" s="6"/>
      <c r="V19" s="6"/>
      <c r="W19" s="6"/>
      <c r="X19" s="6"/>
      <c r="Y19" s="7">
        <f>3346.08</f>
        <v>3346.08</v>
      </c>
      <c r="Z19" s="7">
        <f>109.75</f>
        <v>109.75</v>
      </c>
      <c r="AA19" s="6"/>
      <c r="AB19" s="6"/>
      <c r="AC19" s="6"/>
      <c r="AD19" s="7">
        <f t="shared" si="0"/>
        <v>8318.09</v>
      </c>
    </row>
    <row r="20" spans="1:30" x14ac:dyDescent="0.3">
      <c r="A20" s="5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>
        <f>225.43</f>
        <v>225.43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7">
        <f t="shared" si="0"/>
        <v>225.43</v>
      </c>
    </row>
    <row r="21" spans="1:30" ht="31.2" x14ac:dyDescent="0.3">
      <c r="A21" s="5" t="s">
        <v>44</v>
      </c>
      <c r="B21" s="6"/>
      <c r="C21" s="6"/>
      <c r="D21" s="7">
        <f>5472.9</f>
        <v>5472.9</v>
      </c>
      <c r="E21" s="7">
        <f>110</f>
        <v>110</v>
      </c>
      <c r="F21" s="6"/>
      <c r="G21" s="6"/>
      <c r="H21" s="7">
        <f>1410</f>
        <v>1410</v>
      </c>
      <c r="I21" s="6"/>
      <c r="J21" s="7">
        <f>15679</f>
        <v>15679</v>
      </c>
      <c r="K21" s="6"/>
      <c r="L21" s="6"/>
      <c r="M21" s="6"/>
      <c r="N21" s="6"/>
      <c r="O21" s="7">
        <f>25367.1</f>
        <v>25367.1</v>
      </c>
      <c r="P21" s="7">
        <f>7754</f>
        <v>7754</v>
      </c>
      <c r="Q21" s="7">
        <f>2193</f>
        <v>2193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7">
        <f>350</f>
        <v>350</v>
      </c>
      <c r="AC21" s="7">
        <f>656</f>
        <v>656</v>
      </c>
      <c r="AD21" s="7">
        <f t="shared" si="0"/>
        <v>58992</v>
      </c>
    </row>
    <row r="22" spans="1:30" x14ac:dyDescent="0.3">
      <c r="A22" s="5" t="s">
        <v>45</v>
      </c>
      <c r="B22" s="8">
        <f t="shared" ref="B22:AC22" si="3">(((((B16)+(B17))+(B18))+(B19))+(B20))+(B21)</f>
        <v>928</v>
      </c>
      <c r="C22" s="8">
        <f t="shared" si="3"/>
        <v>0</v>
      </c>
      <c r="D22" s="8">
        <f t="shared" si="3"/>
        <v>5472.9</v>
      </c>
      <c r="E22" s="8">
        <f t="shared" si="3"/>
        <v>110</v>
      </c>
      <c r="F22" s="8">
        <f t="shared" si="3"/>
        <v>0</v>
      </c>
      <c r="G22" s="8">
        <f t="shared" si="3"/>
        <v>0</v>
      </c>
      <c r="H22" s="8">
        <f t="shared" si="3"/>
        <v>1410</v>
      </c>
      <c r="I22" s="8">
        <f t="shared" si="3"/>
        <v>0</v>
      </c>
      <c r="J22" s="8">
        <f t="shared" si="3"/>
        <v>19589</v>
      </c>
      <c r="K22" s="8">
        <f t="shared" si="3"/>
        <v>0</v>
      </c>
      <c r="L22" s="8">
        <f t="shared" si="3"/>
        <v>0</v>
      </c>
      <c r="M22" s="8">
        <f t="shared" si="3"/>
        <v>0</v>
      </c>
      <c r="N22" s="8">
        <f t="shared" si="3"/>
        <v>0</v>
      </c>
      <c r="O22" s="8">
        <f t="shared" si="3"/>
        <v>35752.1</v>
      </c>
      <c r="P22" s="8">
        <f t="shared" si="3"/>
        <v>8403.69</v>
      </c>
      <c r="Q22" s="8">
        <f t="shared" si="3"/>
        <v>2193</v>
      </c>
      <c r="R22" s="8">
        <f t="shared" si="3"/>
        <v>0</v>
      </c>
      <c r="S22" s="8">
        <f t="shared" si="3"/>
        <v>0</v>
      </c>
      <c r="T22" s="8">
        <f t="shared" si="3"/>
        <v>0</v>
      </c>
      <c r="U22" s="8">
        <f t="shared" si="3"/>
        <v>0</v>
      </c>
      <c r="V22" s="8">
        <f t="shared" si="3"/>
        <v>0</v>
      </c>
      <c r="W22" s="8">
        <f t="shared" si="3"/>
        <v>0</v>
      </c>
      <c r="X22" s="8">
        <f t="shared" si="3"/>
        <v>0</v>
      </c>
      <c r="Y22" s="8">
        <f t="shared" si="3"/>
        <v>3346.08</v>
      </c>
      <c r="Z22" s="8">
        <f t="shared" si="3"/>
        <v>4759.75</v>
      </c>
      <c r="AA22" s="8">
        <f t="shared" si="3"/>
        <v>0</v>
      </c>
      <c r="AB22" s="8">
        <f t="shared" si="3"/>
        <v>350</v>
      </c>
      <c r="AC22" s="8">
        <f t="shared" si="3"/>
        <v>656</v>
      </c>
      <c r="AD22" s="8">
        <f t="shared" si="0"/>
        <v>82970.52</v>
      </c>
    </row>
    <row r="23" spans="1:30" x14ac:dyDescent="0.3">
      <c r="A23" s="5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7">
        <f t="shared" si="0"/>
        <v>0</v>
      </c>
    </row>
    <row r="24" spans="1:30" x14ac:dyDescent="0.3">
      <c r="A24" s="5" t="s">
        <v>47</v>
      </c>
      <c r="B24" s="6"/>
      <c r="C24" s="6"/>
      <c r="D24" s="7">
        <f>426.83</f>
        <v>426.83</v>
      </c>
      <c r="E24" s="6"/>
      <c r="F24" s="6"/>
      <c r="G24" s="6"/>
      <c r="H24" s="7">
        <f>261.19</f>
        <v>261.19</v>
      </c>
      <c r="I24" s="6"/>
      <c r="J24" s="6"/>
      <c r="K24" s="6"/>
      <c r="L24" s="6"/>
      <c r="M24" s="7">
        <f>472.22</f>
        <v>472.22</v>
      </c>
      <c r="N24" s="6"/>
      <c r="O24" s="7">
        <f>434.34</f>
        <v>434.34</v>
      </c>
      <c r="P24" s="7">
        <f>-2807.32</f>
        <v>-2807.32</v>
      </c>
      <c r="Q24" s="7">
        <f>500</f>
        <v>500</v>
      </c>
      <c r="R24" s="6"/>
      <c r="S24" s="6"/>
      <c r="T24" s="6"/>
      <c r="U24" s="7">
        <f>375</f>
        <v>375</v>
      </c>
      <c r="V24" s="6"/>
      <c r="W24" s="7">
        <f>410.26</f>
        <v>410.26</v>
      </c>
      <c r="X24" s="6"/>
      <c r="Y24" s="6"/>
      <c r="Z24" s="6"/>
      <c r="AA24" s="6"/>
      <c r="AB24" s="6"/>
      <c r="AC24" s="6"/>
      <c r="AD24" s="7">
        <f t="shared" si="0"/>
        <v>72.519999999999754</v>
      </c>
    </row>
    <row r="25" spans="1:30" x14ac:dyDescent="0.3">
      <c r="A25" s="5" t="s">
        <v>48</v>
      </c>
      <c r="B25" s="8">
        <f t="shared" ref="B25:AC25" si="4">(B23)+(B24)</f>
        <v>0</v>
      </c>
      <c r="C25" s="8">
        <f t="shared" si="4"/>
        <v>0</v>
      </c>
      <c r="D25" s="8">
        <f t="shared" si="4"/>
        <v>426.83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 t="shared" si="4"/>
        <v>261.19</v>
      </c>
      <c r="I25" s="8">
        <f t="shared" si="4"/>
        <v>0</v>
      </c>
      <c r="J25" s="8">
        <f t="shared" si="4"/>
        <v>0</v>
      </c>
      <c r="K25" s="8">
        <f t="shared" si="4"/>
        <v>0</v>
      </c>
      <c r="L25" s="8">
        <f t="shared" si="4"/>
        <v>0</v>
      </c>
      <c r="M25" s="8">
        <f t="shared" si="4"/>
        <v>472.22</v>
      </c>
      <c r="N25" s="8">
        <f t="shared" si="4"/>
        <v>0</v>
      </c>
      <c r="O25" s="8">
        <f t="shared" si="4"/>
        <v>434.34</v>
      </c>
      <c r="P25" s="8">
        <f t="shared" si="4"/>
        <v>-2807.32</v>
      </c>
      <c r="Q25" s="8">
        <f t="shared" si="4"/>
        <v>500</v>
      </c>
      <c r="R25" s="8">
        <f t="shared" si="4"/>
        <v>0</v>
      </c>
      <c r="S25" s="8">
        <f t="shared" si="4"/>
        <v>0</v>
      </c>
      <c r="T25" s="8">
        <f t="shared" si="4"/>
        <v>0</v>
      </c>
      <c r="U25" s="8">
        <f t="shared" si="4"/>
        <v>375</v>
      </c>
      <c r="V25" s="8">
        <f t="shared" si="4"/>
        <v>0</v>
      </c>
      <c r="W25" s="8">
        <f t="shared" si="4"/>
        <v>410.26</v>
      </c>
      <c r="X25" s="8">
        <f t="shared" si="4"/>
        <v>0</v>
      </c>
      <c r="Y25" s="8">
        <f t="shared" si="4"/>
        <v>0</v>
      </c>
      <c r="Z25" s="8">
        <f t="shared" si="4"/>
        <v>0</v>
      </c>
      <c r="AA25" s="8">
        <f t="shared" si="4"/>
        <v>0</v>
      </c>
      <c r="AB25" s="8">
        <f t="shared" si="4"/>
        <v>0</v>
      </c>
      <c r="AC25" s="8">
        <f t="shared" si="4"/>
        <v>0</v>
      </c>
      <c r="AD25" s="8">
        <f t="shared" si="0"/>
        <v>72.519999999999754</v>
      </c>
    </row>
    <row r="26" spans="1:30" x14ac:dyDescent="0.3">
      <c r="A26" s="5" t="s">
        <v>49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>
        <f t="shared" si="0"/>
        <v>0</v>
      </c>
    </row>
    <row r="27" spans="1:30" x14ac:dyDescent="0.3">
      <c r="A27" s="5" t="s">
        <v>50</v>
      </c>
      <c r="B27" s="6"/>
      <c r="C27" s="6"/>
      <c r="D27" s="6"/>
      <c r="E27" s="7">
        <f>105</f>
        <v>105</v>
      </c>
      <c r="F27" s="6"/>
      <c r="G27" s="7">
        <f>855</f>
        <v>855</v>
      </c>
      <c r="H27" s="6"/>
      <c r="I27" s="6"/>
      <c r="J27" s="7">
        <f>5460</f>
        <v>5460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7">
        <f t="shared" si="0"/>
        <v>6420</v>
      </c>
    </row>
    <row r="28" spans="1:30" x14ac:dyDescent="0.3">
      <c r="A28" s="5" t="s">
        <v>51</v>
      </c>
      <c r="B28" s="6"/>
      <c r="C28" s="6"/>
      <c r="D28" s="6"/>
      <c r="E28" s="7">
        <f>1895</f>
        <v>1895</v>
      </c>
      <c r="F28" s="6"/>
      <c r="G28" s="7">
        <f>5346.3</f>
        <v>5346.3</v>
      </c>
      <c r="H28" s="7">
        <f>6545</f>
        <v>6545</v>
      </c>
      <c r="I28" s="6"/>
      <c r="J28" s="6"/>
      <c r="K28" s="6"/>
      <c r="L28" s="7">
        <f>160</f>
        <v>160</v>
      </c>
      <c r="M28" s="6"/>
      <c r="N28" s="6"/>
      <c r="O28" s="7">
        <f>300</f>
        <v>300</v>
      </c>
      <c r="P28" s="6"/>
      <c r="Q28" s="7">
        <f>4125</f>
        <v>4125</v>
      </c>
      <c r="R28" s="7">
        <f>1585</f>
        <v>1585</v>
      </c>
      <c r="S28" s="6"/>
      <c r="T28" s="6"/>
      <c r="U28" s="6"/>
      <c r="V28" s="6"/>
      <c r="W28" s="6"/>
      <c r="X28" s="7">
        <f>675</f>
        <v>675</v>
      </c>
      <c r="Y28" s="7">
        <f>4150</f>
        <v>4150</v>
      </c>
      <c r="Z28" s="6"/>
      <c r="AA28" s="7">
        <f>1090</f>
        <v>1090</v>
      </c>
      <c r="AB28" s="7">
        <f>3525</f>
        <v>3525</v>
      </c>
      <c r="AC28" s="7">
        <f>2965</f>
        <v>2965</v>
      </c>
      <c r="AD28" s="7">
        <f t="shared" si="0"/>
        <v>32361.3</v>
      </c>
    </row>
    <row r="29" spans="1:30" ht="31.2" x14ac:dyDescent="0.3">
      <c r="A29" s="5" t="s">
        <v>52</v>
      </c>
      <c r="B29" s="6"/>
      <c r="C29" s="6"/>
      <c r="D29" s="6"/>
      <c r="E29" s="6"/>
      <c r="F29" s="6"/>
      <c r="G29" s="6"/>
      <c r="H29" s="6"/>
      <c r="I29" s="6"/>
      <c r="J29" s="7">
        <f>10868.6</f>
        <v>10868.6</v>
      </c>
      <c r="K29" s="6"/>
      <c r="L29" s="6"/>
      <c r="M29" s="6"/>
      <c r="N29" s="6"/>
      <c r="O29" s="7">
        <f>43333.51</f>
        <v>43333.51</v>
      </c>
      <c r="P29" s="6"/>
      <c r="Q29" s="6"/>
      <c r="R29" s="6"/>
      <c r="S29" s="6"/>
      <c r="T29" s="6"/>
      <c r="U29" s="7">
        <f>19081.4</f>
        <v>19081.400000000001</v>
      </c>
      <c r="V29" s="6"/>
      <c r="W29" s="6"/>
      <c r="X29" s="6"/>
      <c r="Y29" s="6"/>
      <c r="Z29" s="6"/>
      <c r="AA29" s="6"/>
      <c r="AB29" s="7">
        <f>6903.46</f>
        <v>6903.46</v>
      </c>
      <c r="AC29" s="7">
        <f>3999</f>
        <v>3999</v>
      </c>
      <c r="AD29" s="7">
        <f t="shared" si="0"/>
        <v>84185.970000000016</v>
      </c>
    </row>
    <row r="30" spans="1:30" x14ac:dyDescent="0.3">
      <c r="A30" s="5" t="s">
        <v>53</v>
      </c>
      <c r="B30" s="6"/>
      <c r="C30" s="6"/>
      <c r="D30" s="6"/>
      <c r="E30" s="6"/>
      <c r="F30" s="6"/>
      <c r="G30" s="6"/>
      <c r="H30" s="7">
        <f>9750</f>
        <v>9750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7">
        <f t="shared" si="0"/>
        <v>9750</v>
      </c>
    </row>
    <row r="31" spans="1:30" x14ac:dyDescent="0.3">
      <c r="A31" s="5" t="s">
        <v>54</v>
      </c>
      <c r="B31" s="6"/>
      <c r="C31" s="6"/>
      <c r="D31" s="6"/>
      <c r="E31" s="6"/>
      <c r="F31" s="6"/>
      <c r="G31" s="7">
        <f>4840</f>
        <v>4840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7">
        <f t="shared" si="0"/>
        <v>4840</v>
      </c>
    </row>
    <row r="32" spans="1:30" x14ac:dyDescent="0.3">
      <c r="A32" s="5" t="s">
        <v>55</v>
      </c>
      <c r="B32" s="6"/>
      <c r="C32" s="6"/>
      <c r="D32" s="7">
        <f>15465.69</f>
        <v>15465.69</v>
      </c>
      <c r="E32" s="7">
        <f>712.96</f>
        <v>712.96</v>
      </c>
      <c r="F32" s="7">
        <f>12708</f>
        <v>12708</v>
      </c>
      <c r="G32" s="7">
        <f>462</f>
        <v>462</v>
      </c>
      <c r="H32" s="6"/>
      <c r="I32" s="6"/>
      <c r="J32" s="6"/>
      <c r="K32" s="6"/>
      <c r="L32" s="6"/>
      <c r="M32" s="6"/>
      <c r="N32" s="6"/>
      <c r="O32" s="6"/>
      <c r="P32" s="6"/>
      <c r="Q32" s="7">
        <f>1500</f>
        <v>1500</v>
      </c>
      <c r="R32" s="7">
        <f>1448.04</f>
        <v>1448.04</v>
      </c>
      <c r="S32" s="6"/>
      <c r="T32" s="6"/>
      <c r="U32" s="6"/>
      <c r="V32" s="6"/>
      <c r="W32" s="6"/>
      <c r="X32" s="6"/>
      <c r="Y32" s="7">
        <f>1914</f>
        <v>1914</v>
      </c>
      <c r="Z32" s="7">
        <f>290</f>
        <v>290</v>
      </c>
      <c r="AA32" s="6"/>
      <c r="AB32" s="6"/>
      <c r="AC32" s="6"/>
      <c r="AD32" s="7">
        <f t="shared" si="0"/>
        <v>34500.69</v>
      </c>
    </row>
    <row r="33" spans="1:30" x14ac:dyDescent="0.3">
      <c r="A33" s="5" t="s">
        <v>56</v>
      </c>
      <c r="B33" s="8">
        <f t="shared" ref="B33:AC33" si="5">((((((B26)+(B27))+(B28))+(B29))+(B30))+(B31))+(B32)</f>
        <v>0</v>
      </c>
      <c r="C33" s="8">
        <f t="shared" si="5"/>
        <v>0</v>
      </c>
      <c r="D33" s="8">
        <f t="shared" si="5"/>
        <v>15465.69</v>
      </c>
      <c r="E33" s="8">
        <f t="shared" si="5"/>
        <v>2712.96</v>
      </c>
      <c r="F33" s="8">
        <f t="shared" si="5"/>
        <v>12708</v>
      </c>
      <c r="G33" s="8">
        <f t="shared" si="5"/>
        <v>11503.3</v>
      </c>
      <c r="H33" s="8">
        <f t="shared" si="5"/>
        <v>16295</v>
      </c>
      <c r="I33" s="8">
        <f t="shared" si="5"/>
        <v>0</v>
      </c>
      <c r="J33" s="8">
        <f t="shared" si="5"/>
        <v>16328.6</v>
      </c>
      <c r="K33" s="8">
        <f t="shared" si="5"/>
        <v>0</v>
      </c>
      <c r="L33" s="8">
        <f t="shared" si="5"/>
        <v>160</v>
      </c>
      <c r="M33" s="8">
        <f t="shared" si="5"/>
        <v>0</v>
      </c>
      <c r="N33" s="8">
        <f t="shared" si="5"/>
        <v>0</v>
      </c>
      <c r="O33" s="8">
        <f t="shared" si="5"/>
        <v>43633.51</v>
      </c>
      <c r="P33" s="8">
        <f t="shared" si="5"/>
        <v>0</v>
      </c>
      <c r="Q33" s="8">
        <f t="shared" si="5"/>
        <v>5625</v>
      </c>
      <c r="R33" s="8">
        <f t="shared" si="5"/>
        <v>3033.04</v>
      </c>
      <c r="S33" s="8">
        <f t="shared" si="5"/>
        <v>0</v>
      </c>
      <c r="T33" s="8">
        <f t="shared" si="5"/>
        <v>0</v>
      </c>
      <c r="U33" s="8">
        <f t="shared" si="5"/>
        <v>19081.400000000001</v>
      </c>
      <c r="V33" s="8">
        <f t="shared" si="5"/>
        <v>0</v>
      </c>
      <c r="W33" s="8">
        <f t="shared" si="5"/>
        <v>0</v>
      </c>
      <c r="X33" s="8">
        <f t="shared" si="5"/>
        <v>675</v>
      </c>
      <c r="Y33" s="8">
        <f t="shared" si="5"/>
        <v>6064</v>
      </c>
      <c r="Z33" s="8">
        <f t="shared" si="5"/>
        <v>290</v>
      </c>
      <c r="AA33" s="8">
        <f t="shared" si="5"/>
        <v>1090</v>
      </c>
      <c r="AB33" s="8">
        <f t="shared" si="5"/>
        <v>10428.459999999999</v>
      </c>
      <c r="AC33" s="8">
        <f t="shared" si="5"/>
        <v>6964</v>
      </c>
      <c r="AD33" s="8">
        <f t="shared" si="0"/>
        <v>172057.96</v>
      </c>
    </row>
    <row r="34" spans="1:30" x14ac:dyDescent="0.3">
      <c r="A34" s="5" t="s">
        <v>57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>
        <f>-20</f>
        <v>-20</v>
      </c>
      <c r="P34" s="7">
        <f>-50</f>
        <v>-50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7">
        <f t="shared" si="0"/>
        <v>-70</v>
      </c>
    </row>
    <row r="35" spans="1:30" x14ac:dyDescent="0.3">
      <c r="A35" s="5" t="s">
        <v>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>
        <f>0.01</f>
        <v>0.01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7">
        <f t="shared" si="0"/>
        <v>0.01</v>
      </c>
    </row>
    <row r="36" spans="1:30" x14ac:dyDescent="0.3">
      <c r="A36" s="5" t="s">
        <v>59</v>
      </c>
      <c r="B36" s="8">
        <f t="shared" ref="B36:AC36" si="6">((((((B12)+(B15))+(B22))+(B25))+(B33))+(B34))+(B35)</f>
        <v>928</v>
      </c>
      <c r="C36" s="8">
        <f t="shared" si="6"/>
        <v>0</v>
      </c>
      <c r="D36" s="8">
        <f t="shared" si="6"/>
        <v>21462.22</v>
      </c>
      <c r="E36" s="8">
        <f t="shared" si="6"/>
        <v>4539.96</v>
      </c>
      <c r="F36" s="8">
        <f t="shared" si="6"/>
        <v>12708</v>
      </c>
      <c r="G36" s="8">
        <f t="shared" si="6"/>
        <v>33518.300000000003</v>
      </c>
      <c r="H36" s="8">
        <f t="shared" si="6"/>
        <v>18111.240000000002</v>
      </c>
      <c r="I36" s="8">
        <f t="shared" si="6"/>
        <v>0</v>
      </c>
      <c r="J36" s="8">
        <f t="shared" si="6"/>
        <v>35917.599999999999</v>
      </c>
      <c r="K36" s="8">
        <f t="shared" si="6"/>
        <v>0</v>
      </c>
      <c r="L36" s="8">
        <f t="shared" si="6"/>
        <v>160</v>
      </c>
      <c r="M36" s="8">
        <f t="shared" si="6"/>
        <v>472.22</v>
      </c>
      <c r="N36" s="8">
        <f t="shared" si="6"/>
        <v>0</v>
      </c>
      <c r="O36" s="8">
        <f t="shared" si="6"/>
        <v>82799.95</v>
      </c>
      <c r="P36" s="8">
        <f t="shared" si="6"/>
        <v>25796.629999999994</v>
      </c>
      <c r="Q36" s="8">
        <f t="shared" si="6"/>
        <v>8511.9</v>
      </c>
      <c r="R36" s="8">
        <f t="shared" si="6"/>
        <v>3033.04</v>
      </c>
      <c r="S36" s="8">
        <f t="shared" si="6"/>
        <v>0</v>
      </c>
      <c r="T36" s="8">
        <f t="shared" si="6"/>
        <v>5650</v>
      </c>
      <c r="U36" s="8">
        <f t="shared" si="6"/>
        <v>19528.920000000002</v>
      </c>
      <c r="V36" s="8">
        <f t="shared" si="6"/>
        <v>0</v>
      </c>
      <c r="W36" s="8">
        <f t="shared" si="6"/>
        <v>2110.2600000000002</v>
      </c>
      <c r="X36" s="8">
        <f t="shared" si="6"/>
        <v>675</v>
      </c>
      <c r="Y36" s="8">
        <f t="shared" si="6"/>
        <v>46110.080000000002</v>
      </c>
      <c r="Z36" s="8">
        <f t="shared" si="6"/>
        <v>15149.8</v>
      </c>
      <c r="AA36" s="8">
        <f t="shared" si="6"/>
        <v>8397</v>
      </c>
      <c r="AB36" s="8">
        <f t="shared" si="6"/>
        <v>12098.46</v>
      </c>
      <c r="AC36" s="8">
        <f t="shared" si="6"/>
        <v>8818.25</v>
      </c>
      <c r="AD36" s="8">
        <f t="shared" si="0"/>
        <v>366496.83</v>
      </c>
    </row>
    <row r="37" spans="1:30" x14ac:dyDescent="0.3">
      <c r="A37" s="5" t="s">
        <v>60</v>
      </c>
      <c r="B37" s="8">
        <f t="shared" ref="B37:AC37" si="7">(B36)-(0)</f>
        <v>928</v>
      </c>
      <c r="C37" s="8">
        <f t="shared" si="7"/>
        <v>0</v>
      </c>
      <c r="D37" s="8">
        <f t="shared" si="7"/>
        <v>21462.22</v>
      </c>
      <c r="E37" s="8">
        <f t="shared" si="7"/>
        <v>4539.96</v>
      </c>
      <c r="F37" s="8">
        <f t="shared" si="7"/>
        <v>12708</v>
      </c>
      <c r="G37" s="8">
        <f t="shared" si="7"/>
        <v>33518.300000000003</v>
      </c>
      <c r="H37" s="8">
        <f t="shared" si="7"/>
        <v>18111.240000000002</v>
      </c>
      <c r="I37" s="8">
        <f t="shared" si="7"/>
        <v>0</v>
      </c>
      <c r="J37" s="8">
        <f t="shared" si="7"/>
        <v>35917.599999999999</v>
      </c>
      <c r="K37" s="8">
        <f t="shared" si="7"/>
        <v>0</v>
      </c>
      <c r="L37" s="8">
        <f t="shared" si="7"/>
        <v>160</v>
      </c>
      <c r="M37" s="8">
        <f t="shared" si="7"/>
        <v>472.22</v>
      </c>
      <c r="N37" s="8">
        <f t="shared" si="7"/>
        <v>0</v>
      </c>
      <c r="O37" s="8">
        <f t="shared" si="7"/>
        <v>82799.95</v>
      </c>
      <c r="P37" s="8">
        <f t="shared" si="7"/>
        <v>25796.629999999994</v>
      </c>
      <c r="Q37" s="8">
        <f t="shared" si="7"/>
        <v>8511.9</v>
      </c>
      <c r="R37" s="8">
        <f t="shared" si="7"/>
        <v>3033.04</v>
      </c>
      <c r="S37" s="8">
        <f t="shared" si="7"/>
        <v>0</v>
      </c>
      <c r="T37" s="8">
        <f t="shared" si="7"/>
        <v>5650</v>
      </c>
      <c r="U37" s="8">
        <f t="shared" si="7"/>
        <v>19528.920000000002</v>
      </c>
      <c r="V37" s="8">
        <f t="shared" si="7"/>
        <v>0</v>
      </c>
      <c r="W37" s="8">
        <f t="shared" si="7"/>
        <v>2110.2600000000002</v>
      </c>
      <c r="X37" s="8">
        <f t="shared" si="7"/>
        <v>675</v>
      </c>
      <c r="Y37" s="8">
        <f t="shared" si="7"/>
        <v>46110.080000000002</v>
      </c>
      <c r="Z37" s="8">
        <f t="shared" si="7"/>
        <v>15149.8</v>
      </c>
      <c r="AA37" s="8">
        <f t="shared" si="7"/>
        <v>8397</v>
      </c>
      <c r="AB37" s="8">
        <f t="shared" si="7"/>
        <v>12098.46</v>
      </c>
      <c r="AC37" s="8">
        <f t="shared" si="7"/>
        <v>8818.25</v>
      </c>
      <c r="AD37" s="8">
        <f t="shared" si="0"/>
        <v>366496.83</v>
      </c>
    </row>
    <row r="38" spans="1:30" x14ac:dyDescent="0.3">
      <c r="A38" s="5" t="s">
        <v>61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3">
      <c r="A39" s="5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>
        <f>8964.81</f>
        <v>8964.81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>
        <f t="shared" ref="AD39:AD70" si="8">(((((((((((((((((((((((((((B39)+(C39))+(D39))+(E39))+(F39))+(G39))+(H39))+(I39))+(J39))+(K39))+(L39))+(M39))+(N39))+(O39))+(P39))+(Q39))+(R39))+(S39))+(T39))+(U39))+(V39))+(W39))+(X39))+(Y39))+(Z39))+(AA39))+(AB39))+(AC39)</f>
        <v>8964.81</v>
      </c>
    </row>
    <row r="40" spans="1:30" x14ac:dyDescent="0.3">
      <c r="A40" s="5" t="s">
        <v>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>
        <f>8270.75</f>
        <v>8270.75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7">
        <f t="shared" si="8"/>
        <v>8270.75</v>
      </c>
    </row>
    <row r="41" spans="1:30" x14ac:dyDescent="0.3">
      <c r="A41" s="5" t="s">
        <v>64</v>
      </c>
      <c r="B41" s="6"/>
      <c r="C41" s="6"/>
      <c r="D41" s="7">
        <f>0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>
        <f>-7162.6</f>
        <v>-7162.6</v>
      </c>
      <c r="Q41" s="7">
        <f>0</f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7">
        <f t="shared" si="8"/>
        <v>-7162.6</v>
      </c>
    </row>
    <row r="42" spans="1:30" ht="31.2" x14ac:dyDescent="0.3">
      <c r="A42" s="5" t="s">
        <v>65</v>
      </c>
      <c r="B42" s="8">
        <f t="shared" ref="B42:AC42" si="9">((B39)+(B40))+(B41)</f>
        <v>0</v>
      </c>
      <c r="C42" s="8">
        <f t="shared" si="9"/>
        <v>0</v>
      </c>
      <c r="D42" s="8">
        <f t="shared" si="9"/>
        <v>0</v>
      </c>
      <c r="E42" s="8">
        <f t="shared" si="9"/>
        <v>0</v>
      </c>
      <c r="F42" s="8">
        <f t="shared" si="9"/>
        <v>0</v>
      </c>
      <c r="G42" s="8">
        <f t="shared" si="9"/>
        <v>0</v>
      </c>
      <c r="H42" s="8">
        <f t="shared" si="9"/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9"/>
        <v>0</v>
      </c>
      <c r="O42" s="8">
        <f t="shared" si="9"/>
        <v>0</v>
      </c>
      <c r="P42" s="8">
        <f t="shared" si="9"/>
        <v>10072.959999999997</v>
      </c>
      <c r="Q42" s="8">
        <f t="shared" si="9"/>
        <v>0</v>
      </c>
      <c r="R42" s="8">
        <f t="shared" si="9"/>
        <v>0</v>
      </c>
      <c r="S42" s="8">
        <f t="shared" si="9"/>
        <v>0</v>
      </c>
      <c r="T42" s="8">
        <f t="shared" si="9"/>
        <v>0</v>
      </c>
      <c r="U42" s="8">
        <f t="shared" si="9"/>
        <v>0</v>
      </c>
      <c r="V42" s="8">
        <f t="shared" si="9"/>
        <v>0</v>
      </c>
      <c r="W42" s="8">
        <f t="shared" si="9"/>
        <v>0</v>
      </c>
      <c r="X42" s="8">
        <f t="shared" si="9"/>
        <v>0</v>
      </c>
      <c r="Y42" s="8">
        <f t="shared" si="9"/>
        <v>0</v>
      </c>
      <c r="Z42" s="8">
        <f t="shared" si="9"/>
        <v>0</v>
      </c>
      <c r="AA42" s="8">
        <f t="shared" si="9"/>
        <v>0</v>
      </c>
      <c r="AB42" s="8">
        <f t="shared" si="9"/>
        <v>0</v>
      </c>
      <c r="AC42" s="8">
        <f t="shared" si="9"/>
        <v>0</v>
      </c>
      <c r="AD42" s="8">
        <f t="shared" si="8"/>
        <v>10072.959999999997</v>
      </c>
    </row>
    <row r="43" spans="1:30" x14ac:dyDescent="0.3">
      <c r="A43" s="5" t="s">
        <v>66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7">
        <f t="shared" si="8"/>
        <v>0</v>
      </c>
    </row>
    <row r="44" spans="1:30" x14ac:dyDescent="0.3">
      <c r="A44" s="5" t="s">
        <v>67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>
        <f>1081</f>
        <v>1081</v>
      </c>
      <c r="Q44" s="6"/>
      <c r="R44" s="6"/>
      <c r="S44" s="6"/>
      <c r="T44" s="6"/>
      <c r="U44" s="6"/>
      <c r="V44" s="6"/>
      <c r="W44" s="6"/>
      <c r="X44" s="6"/>
      <c r="Y44" s="7">
        <f>2109.25</f>
        <v>2109.25</v>
      </c>
      <c r="Z44" s="7">
        <f>545.95</f>
        <v>545.95000000000005</v>
      </c>
      <c r="AA44" s="6"/>
      <c r="AB44" s="7">
        <f>2083</f>
        <v>2083</v>
      </c>
      <c r="AC44" s="6"/>
      <c r="AD44" s="7">
        <f t="shared" si="8"/>
        <v>5819.2</v>
      </c>
    </row>
    <row r="45" spans="1:30" x14ac:dyDescent="0.3">
      <c r="A45" s="5" t="s">
        <v>68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>
        <f>4046.25</f>
        <v>4046.25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7">
        <f t="shared" si="8"/>
        <v>4046.25</v>
      </c>
    </row>
    <row r="46" spans="1:30" x14ac:dyDescent="0.3">
      <c r="A46" s="5" t="s">
        <v>69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>
        <f>1707</f>
        <v>1707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7">
        <f t="shared" si="8"/>
        <v>1707</v>
      </c>
    </row>
    <row r="47" spans="1:30" ht="31.2" x14ac:dyDescent="0.3">
      <c r="A47" s="5" t="s">
        <v>70</v>
      </c>
      <c r="B47" s="8">
        <f t="shared" ref="B47:AC47" si="10">(((B43)+(B44))+(B45))+(B46)</f>
        <v>0</v>
      </c>
      <c r="C47" s="8">
        <f t="shared" si="10"/>
        <v>0</v>
      </c>
      <c r="D47" s="8">
        <f t="shared" si="10"/>
        <v>0</v>
      </c>
      <c r="E47" s="8">
        <f t="shared" si="10"/>
        <v>0</v>
      </c>
      <c r="F47" s="8">
        <f t="shared" si="10"/>
        <v>0</v>
      </c>
      <c r="G47" s="8">
        <f t="shared" si="10"/>
        <v>0</v>
      </c>
      <c r="H47" s="8">
        <f t="shared" si="10"/>
        <v>0</v>
      </c>
      <c r="I47" s="8">
        <f t="shared" si="10"/>
        <v>0</v>
      </c>
      <c r="J47" s="8">
        <f t="shared" si="10"/>
        <v>0</v>
      </c>
      <c r="K47" s="8">
        <f t="shared" si="10"/>
        <v>0</v>
      </c>
      <c r="L47" s="8">
        <f t="shared" si="10"/>
        <v>0</v>
      </c>
      <c r="M47" s="8">
        <f t="shared" si="10"/>
        <v>0</v>
      </c>
      <c r="N47" s="8">
        <f t="shared" si="10"/>
        <v>0</v>
      </c>
      <c r="O47" s="8">
        <f t="shared" si="10"/>
        <v>1707</v>
      </c>
      <c r="P47" s="8">
        <f t="shared" si="10"/>
        <v>5127.25</v>
      </c>
      <c r="Q47" s="8">
        <f t="shared" si="10"/>
        <v>0</v>
      </c>
      <c r="R47" s="8">
        <f t="shared" si="10"/>
        <v>0</v>
      </c>
      <c r="S47" s="8">
        <f t="shared" si="10"/>
        <v>0</v>
      </c>
      <c r="T47" s="8">
        <f t="shared" si="10"/>
        <v>0</v>
      </c>
      <c r="U47" s="8">
        <f t="shared" si="10"/>
        <v>0</v>
      </c>
      <c r="V47" s="8">
        <f t="shared" si="10"/>
        <v>0</v>
      </c>
      <c r="W47" s="8">
        <f t="shared" si="10"/>
        <v>0</v>
      </c>
      <c r="X47" s="8">
        <f t="shared" si="10"/>
        <v>0</v>
      </c>
      <c r="Y47" s="8">
        <f t="shared" si="10"/>
        <v>2109.25</v>
      </c>
      <c r="Z47" s="8">
        <f t="shared" si="10"/>
        <v>545.95000000000005</v>
      </c>
      <c r="AA47" s="8">
        <f t="shared" si="10"/>
        <v>0</v>
      </c>
      <c r="AB47" s="8">
        <f t="shared" si="10"/>
        <v>2083</v>
      </c>
      <c r="AC47" s="8">
        <f t="shared" si="10"/>
        <v>0</v>
      </c>
      <c r="AD47" s="8">
        <f t="shared" si="8"/>
        <v>11572.45</v>
      </c>
    </row>
    <row r="48" spans="1:30" x14ac:dyDescent="0.3">
      <c r="A48" s="5" t="s">
        <v>71</v>
      </c>
      <c r="B48" s="7">
        <f>500</f>
        <v>500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>
        <f>795.96</f>
        <v>795.96</v>
      </c>
      <c r="P48" s="6"/>
      <c r="Q48" s="6"/>
      <c r="R48" s="6"/>
      <c r="S48" s="6"/>
      <c r="T48" s="6"/>
      <c r="U48" s="7">
        <f>600</f>
        <v>600</v>
      </c>
      <c r="V48" s="6"/>
      <c r="W48" s="7">
        <f>300</f>
        <v>300</v>
      </c>
      <c r="X48" s="6"/>
      <c r="Y48" s="6"/>
      <c r="Z48" s="6"/>
      <c r="AA48" s="6"/>
      <c r="AB48" s="6"/>
      <c r="AC48" s="6"/>
      <c r="AD48" s="7">
        <f t="shared" si="8"/>
        <v>2195.96</v>
      </c>
    </row>
    <row r="49" spans="1:30" x14ac:dyDescent="0.3">
      <c r="A49" s="5" t="s">
        <v>72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7">
        <f t="shared" si="8"/>
        <v>0</v>
      </c>
    </row>
    <row r="50" spans="1:30" x14ac:dyDescent="0.3">
      <c r="A50" s="5" t="s">
        <v>73</v>
      </c>
      <c r="B50" s="6"/>
      <c r="C50" s="6"/>
      <c r="D50" s="7">
        <f>270</f>
        <v>270</v>
      </c>
      <c r="E50" s="6"/>
      <c r="F50" s="6"/>
      <c r="G50" s="6"/>
      <c r="H50" s="7">
        <f>6750</f>
        <v>6750</v>
      </c>
      <c r="I50" s="6"/>
      <c r="J50" s="7">
        <f>1024.5</f>
        <v>1024.5</v>
      </c>
      <c r="K50" s="6"/>
      <c r="L50" s="7">
        <f>729.91</f>
        <v>729.91</v>
      </c>
      <c r="M50" s="6"/>
      <c r="N50" s="6"/>
      <c r="O50" s="7">
        <f>31879.66</f>
        <v>31879.66</v>
      </c>
      <c r="P50" s="6"/>
      <c r="Q50" s="7">
        <f>4675</f>
        <v>4675</v>
      </c>
      <c r="R50" s="6"/>
      <c r="S50" s="6"/>
      <c r="T50" s="7">
        <f>5793.4</f>
        <v>5793.4</v>
      </c>
      <c r="U50" s="7">
        <f>605</f>
        <v>605</v>
      </c>
      <c r="V50" s="6"/>
      <c r="W50" s="7">
        <f>270</f>
        <v>270</v>
      </c>
      <c r="X50" s="7">
        <f>1134</f>
        <v>1134</v>
      </c>
      <c r="Y50" s="7">
        <f>4283.67</f>
        <v>4283.67</v>
      </c>
      <c r="Z50" s="6"/>
      <c r="AA50" s="7">
        <f>3240</f>
        <v>3240</v>
      </c>
      <c r="AB50" s="7">
        <f>1410</f>
        <v>1410</v>
      </c>
      <c r="AC50" s="7">
        <f>3350</f>
        <v>3350</v>
      </c>
      <c r="AD50" s="7">
        <f t="shared" si="8"/>
        <v>65415.14</v>
      </c>
    </row>
    <row r="51" spans="1:30" ht="31.2" x14ac:dyDescent="0.3">
      <c r="A51" s="5" t="s">
        <v>74</v>
      </c>
      <c r="B51" s="7">
        <f>120.84</f>
        <v>120.84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7">
        <f t="shared" si="8"/>
        <v>120.84</v>
      </c>
    </row>
    <row r="52" spans="1:30" x14ac:dyDescent="0.3">
      <c r="A52" s="5" t="s">
        <v>75</v>
      </c>
      <c r="B52" s="6"/>
      <c r="C52" s="6"/>
      <c r="D52" s="6"/>
      <c r="E52" s="6"/>
      <c r="F52" s="6"/>
      <c r="G52" s="6"/>
      <c r="H52" s="6"/>
      <c r="I52" s="6"/>
      <c r="J52" s="7">
        <f>1730</f>
        <v>1730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>
        <f>2189.48</f>
        <v>2189.48</v>
      </c>
      <c r="AC52" s="6"/>
      <c r="AD52" s="7">
        <f t="shared" si="8"/>
        <v>3919.48</v>
      </c>
    </row>
    <row r="53" spans="1:30" x14ac:dyDescent="0.3">
      <c r="A53" s="5" t="s">
        <v>76</v>
      </c>
      <c r="B53" s="6"/>
      <c r="C53" s="6"/>
      <c r="D53" s="6"/>
      <c r="E53" s="6"/>
      <c r="F53" s="6"/>
      <c r="G53" s="6"/>
      <c r="H53" s="6"/>
      <c r="I53" s="6"/>
      <c r="J53" s="7">
        <f>1240.8</f>
        <v>1240.8</v>
      </c>
      <c r="K53" s="6"/>
      <c r="L53" s="6"/>
      <c r="M53" s="6"/>
      <c r="N53" s="6"/>
      <c r="O53" s="6"/>
      <c r="P53" s="6"/>
      <c r="Q53" s="6"/>
      <c r="R53" s="6"/>
      <c r="S53" s="6"/>
      <c r="T53" s="7">
        <f>600</f>
        <v>600</v>
      </c>
      <c r="U53" s="6"/>
      <c r="V53" s="6"/>
      <c r="W53" s="6"/>
      <c r="X53" s="6"/>
      <c r="Y53" s="6"/>
      <c r="Z53" s="6"/>
      <c r="AA53" s="6"/>
      <c r="AB53" s="6"/>
      <c r="AC53" s="6"/>
      <c r="AD53" s="7">
        <f t="shared" si="8"/>
        <v>1840.8</v>
      </c>
    </row>
    <row r="54" spans="1:30" x14ac:dyDescent="0.3">
      <c r="A54" s="5" t="s">
        <v>77</v>
      </c>
      <c r="B54" s="8">
        <f t="shared" ref="B54:AC54" si="11">((((B49)+(B50))+(B51))+(B52))+(B53)</f>
        <v>120.84</v>
      </c>
      <c r="C54" s="8">
        <f t="shared" si="11"/>
        <v>0</v>
      </c>
      <c r="D54" s="8">
        <f t="shared" si="11"/>
        <v>270</v>
      </c>
      <c r="E54" s="8">
        <f t="shared" si="11"/>
        <v>0</v>
      </c>
      <c r="F54" s="8">
        <f t="shared" si="11"/>
        <v>0</v>
      </c>
      <c r="G54" s="8">
        <f t="shared" si="11"/>
        <v>0</v>
      </c>
      <c r="H54" s="8">
        <f t="shared" si="11"/>
        <v>6750</v>
      </c>
      <c r="I54" s="8">
        <f t="shared" si="11"/>
        <v>0</v>
      </c>
      <c r="J54" s="8">
        <f t="shared" si="11"/>
        <v>3995.3</v>
      </c>
      <c r="K54" s="8">
        <f t="shared" si="11"/>
        <v>0</v>
      </c>
      <c r="L54" s="8">
        <f t="shared" si="11"/>
        <v>729.91</v>
      </c>
      <c r="M54" s="8">
        <f t="shared" si="11"/>
        <v>0</v>
      </c>
      <c r="N54" s="8">
        <f t="shared" si="11"/>
        <v>0</v>
      </c>
      <c r="O54" s="8">
        <f t="shared" si="11"/>
        <v>31879.66</v>
      </c>
      <c r="P54" s="8">
        <f t="shared" si="11"/>
        <v>0</v>
      </c>
      <c r="Q54" s="8">
        <f t="shared" si="11"/>
        <v>4675</v>
      </c>
      <c r="R54" s="8">
        <f t="shared" si="11"/>
        <v>0</v>
      </c>
      <c r="S54" s="8">
        <f t="shared" si="11"/>
        <v>0</v>
      </c>
      <c r="T54" s="8">
        <f t="shared" si="11"/>
        <v>6393.4</v>
      </c>
      <c r="U54" s="8">
        <f t="shared" si="11"/>
        <v>605</v>
      </c>
      <c r="V54" s="8">
        <f t="shared" si="11"/>
        <v>0</v>
      </c>
      <c r="W54" s="8">
        <f t="shared" si="11"/>
        <v>270</v>
      </c>
      <c r="X54" s="8">
        <f t="shared" si="11"/>
        <v>1134</v>
      </c>
      <c r="Y54" s="8">
        <f t="shared" si="11"/>
        <v>4283.67</v>
      </c>
      <c r="Z54" s="8">
        <f t="shared" si="11"/>
        <v>0</v>
      </c>
      <c r="AA54" s="8">
        <f t="shared" si="11"/>
        <v>3240</v>
      </c>
      <c r="AB54" s="8">
        <f t="shared" si="11"/>
        <v>3599.48</v>
      </c>
      <c r="AC54" s="8">
        <f t="shared" si="11"/>
        <v>3350</v>
      </c>
      <c r="AD54" s="8">
        <f t="shared" si="8"/>
        <v>71296.259999999995</v>
      </c>
    </row>
    <row r="55" spans="1:30" x14ac:dyDescent="0.3">
      <c r="A55" s="5" t="s">
        <v>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7">
        <f t="shared" si="8"/>
        <v>0</v>
      </c>
    </row>
    <row r="56" spans="1:30" x14ac:dyDescent="0.3">
      <c r="A56" s="5" t="s">
        <v>79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>
        <f>2718</f>
        <v>2718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7">
        <f t="shared" si="8"/>
        <v>2718</v>
      </c>
    </row>
    <row r="57" spans="1:30" x14ac:dyDescent="0.3">
      <c r="A57" s="5" t="s">
        <v>80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7">
        <f t="shared" si="8"/>
        <v>0</v>
      </c>
    </row>
    <row r="58" spans="1:30" x14ac:dyDescent="0.3">
      <c r="A58" s="5" t="s">
        <v>81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>
        <f>658</f>
        <v>658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7">
        <f t="shared" si="8"/>
        <v>658</v>
      </c>
    </row>
    <row r="59" spans="1:30" x14ac:dyDescent="0.3">
      <c r="A59" s="5" t="s">
        <v>82</v>
      </c>
      <c r="B59" s="8">
        <f t="shared" ref="B59:AC59" si="12">(B57)+(B58)</f>
        <v>0</v>
      </c>
      <c r="C59" s="8">
        <f t="shared" si="12"/>
        <v>0</v>
      </c>
      <c r="D59" s="8">
        <f t="shared" si="12"/>
        <v>0</v>
      </c>
      <c r="E59" s="8">
        <f t="shared" si="12"/>
        <v>0</v>
      </c>
      <c r="F59" s="8">
        <f t="shared" si="12"/>
        <v>0</v>
      </c>
      <c r="G59" s="8">
        <f t="shared" si="12"/>
        <v>0</v>
      </c>
      <c r="H59" s="8">
        <f t="shared" si="12"/>
        <v>0</v>
      </c>
      <c r="I59" s="8">
        <f t="shared" si="12"/>
        <v>0</v>
      </c>
      <c r="J59" s="8">
        <f t="shared" si="12"/>
        <v>0</v>
      </c>
      <c r="K59" s="8">
        <f t="shared" si="12"/>
        <v>0</v>
      </c>
      <c r="L59" s="8">
        <f t="shared" si="12"/>
        <v>0</v>
      </c>
      <c r="M59" s="8">
        <f t="shared" si="12"/>
        <v>0</v>
      </c>
      <c r="N59" s="8">
        <f t="shared" si="12"/>
        <v>0</v>
      </c>
      <c r="O59" s="8">
        <f t="shared" si="12"/>
        <v>0</v>
      </c>
      <c r="P59" s="8">
        <f t="shared" si="12"/>
        <v>658</v>
      </c>
      <c r="Q59" s="8">
        <f t="shared" si="12"/>
        <v>0</v>
      </c>
      <c r="R59" s="8">
        <f t="shared" si="12"/>
        <v>0</v>
      </c>
      <c r="S59" s="8">
        <f t="shared" si="12"/>
        <v>0</v>
      </c>
      <c r="T59" s="8">
        <f t="shared" si="12"/>
        <v>0</v>
      </c>
      <c r="U59" s="8">
        <f t="shared" si="12"/>
        <v>0</v>
      </c>
      <c r="V59" s="8">
        <f t="shared" si="12"/>
        <v>0</v>
      </c>
      <c r="W59" s="8">
        <f t="shared" si="12"/>
        <v>0</v>
      </c>
      <c r="X59" s="8">
        <f t="shared" si="12"/>
        <v>0</v>
      </c>
      <c r="Y59" s="8">
        <f t="shared" si="12"/>
        <v>0</v>
      </c>
      <c r="Z59" s="8">
        <f t="shared" si="12"/>
        <v>0</v>
      </c>
      <c r="AA59" s="8">
        <f t="shared" si="12"/>
        <v>0</v>
      </c>
      <c r="AB59" s="8">
        <f t="shared" si="12"/>
        <v>0</v>
      </c>
      <c r="AC59" s="8">
        <f t="shared" si="12"/>
        <v>0</v>
      </c>
      <c r="AD59" s="8">
        <f t="shared" si="8"/>
        <v>658</v>
      </c>
    </row>
    <row r="60" spans="1:30" x14ac:dyDescent="0.3">
      <c r="A60" s="5" t="s">
        <v>83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7">
        <f t="shared" si="8"/>
        <v>0</v>
      </c>
    </row>
    <row r="61" spans="1:30" x14ac:dyDescent="0.3">
      <c r="A61" s="5" t="s">
        <v>84</v>
      </c>
      <c r="B61" s="6"/>
      <c r="C61" s="6"/>
      <c r="D61" s="6"/>
      <c r="E61" s="6"/>
      <c r="F61" s="6"/>
      <c r="G61" s="6"/>
      <c r="H61" s="6"/>
      <c r="I61" s="6"/>
      <c r="J61" s="7">
        <f>1000</f>
        <v>1000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7">
        <f t="shared" si="8"/>
        <v>1000</v>
      </c>
    </row>
    <row r="62" spans="1:30" x14ac:dyDescent="0.3">
      <c r="A62" s="5" t="s">
        <v>85</v>
      </c>
      <c r="B62" s="6"/>
      <c r="C62" s="6"/>
      <c r="D62" s="7">
        <f>2360</f>
        <v>2360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7">
        <f>1150</f>
        <v>1150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7">
        <f t="shared" si="8"/>
        <v>3510</v>
      </c>
    </row>
    <row r="63" spans="1:30" x14ac:dyDescent="0.3">
      <c r="A63" s="5" t="s">
        <v>86</v>
      </c>
      <c r="B63" s="7">
        <f>75</f>
        <v>75</v>
      </c>
      <c r="C63" s="6"/>
      <c r="D63" s="7">
        <f>4475</f>
        <v>4475</v>
      </c>
      <c r="E63" s="6"/>
      <c r="F63" s="6"/>
      <c r="G63" s="7">
        <f>1100</f>
        <v>1100</v>
      </c>
      <c r="H63" s="7">
        <f>599</f>
        <v>599</v>
      </c>
      <c r="I63" s="7">
        <f>790</f>
        <v>790</v>
      </c>
      <c r="J63" s="6"/>
      <c r="K63" s="6"/>
      <c r="L63" s="6"/>
      <c r="M63" s="6"/>
      <c r="N63" s="6"/>
      <c r="O63" s="7">
        <f>1494.88</f>
        <v>1494.88</v>
      </c>
      <c r="P63" s="7">
        <f>8350</f>
        <v>8350</v>
      </c>
      <c r="Q63" s="7">
        <f>1100</f>
        <v>1100</v>
      </c>
      <c r="R63" s="6"/>
      <c r="S63" s="6"/>
      <c r="T63" s="7">
        <f>790</f>
        <v>790</v>
      </c>
      <c r="U63" s="7">
        <f>1290</f>
        <v>1290</v>
      </c>
      <c r="V63" s="6"/>
      <c r="W63" s="7">
        <f>790</f>
        <v>790</v>
      </c>
      <c r="X63" s="6"/>
      <c r="Y63" s="6"/>
      <c r="Z63" s="6"/>
      <c r="AA63" s="6"/>
      <c r="AB63" s="6"/>
      <c r="AC63" s="7">
        <f>790</f>
        <v>790</v>
      </c>
      <c r="AD63" s="7">
        <f t="shared" si="8"/>
        <v>21643.88</v>
      </c>
    </row>
    <row r="64" spans="1:30" x14ac:dyDescent="0.3">
      <c r="A64" s="5" t="s">
        <v>87</v>
      </c>
      <c r="B64" s="6"/>
      <c r="C64" s="6"/>
      <c r="D64" s="6"/>
      <c r="E64" s="6"/>
      <c r="F64" s="6"/>
      <c r="G64" s="6"/>
      <c r="H64" s="7">
        <f>2383.5</f>
        <v>2383.5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f>401.32</f>
        <v>401.32</v>
      </c>
      <c r="U64" s="6"/>
      <c r="V64" s="6"/>
      <c r="W64" s="6"/>
      <c r="X64" s="6"/>
      <c r="Y64" s="6"/>
      <c r="Z64" s="6"/>
      <c r="AA64" s="6"/>
      <c r="AB64" s="6"/>
      <c r="AC64" s="6"/>
      <c r="AD64" s="7">
        <f t="shared" si="8"/>
        <v>2784.82</v>
      </c>
    </row>
    <row r="65" spans="1:30" x14ac:dyDescent="0.3">
      <c r="A65" s="5" t="s">
        <v>88</v>
      </c>
      <c r="B65" s="8">
        <f t="shared" ref="B65:AC65" si="13">((((B60)+(B61))+(B62))+(B63))+(B64)</f>
        <v>75</v>
      </c>
      <c r="C65" s="8">
        <f t="shared" si="13"/>
        <v>0</v>
      </c>
      <c r="D65" s="8">
        <f t="shared" si="13"/>
        <v>6835</v>
      </c>
      <c r="E65" s="8">
        <f t="shared" si="13"/>
        <v>0</v>
      </c>
      <c r="F65" s="8">
        <f t="shared" si="13"/>
        <v>0</v>
      </c>
      <c r="G65" s="8">
        <f t="shared" si="13"/>
        <v>1100</v>
      </c>
      <c r="H65" s="8">
        <f t="shared" si="13"/>
        <v>2982.5</v>
      </c>
      <c r="I65" s="8">
        <f t="shared" si="13"/>
        <v>790</v>
      </c>
      <c r="J65" s="8">
        <f t="shared" si="13"/>
        <v>1000</v>
      </c>
      <c r="K65" s="8">
        <f t="shared" si="13"/>
        <v>0</v>
      </c>
      <c r="L65" s="8">
        <f t="shared" si="13"/>
        <v>0</v>
      </c>
      <c r="M65" s="8">
        <f t="shared" si="13"/>
        <v>0</v>
      </c>
      <c r="N65" s="8">
        <f t="shared" si="13"/>
        <v>0</v>
      </c>
      <c r="O65" s="8">
        <f t="shared" si="13"/>
        <v>2644.88</v>
      </c>
      <c r="P65" s="8">
        <f t="shared" si="13"/>
        <v>8350</v>
      </c>
      <c r="Q65" s="8">
        <f t="shared" si="13"/>
        <v>1100</v>
      </c>
      <c r="R65" s="8">
        <f t="shared" si="13"/>
        <v>0</v>
      </c>
      <c r="S65" s="8">
        <f t="shared" si="13"/>
        <v>0</v>
      </c>
      <c r="T65" s="8">
        <f t="shared" si="13"/>
        <v>1191.32</v>
      </c>
      <c r="U65" s="8">
        <f t="shared" si="13"/>
        <v>1290</v>
      </c>
      <c r="V65" s="8">
        <f t="shared" si="13"/>
        <v>0</v>
      </c>
      <c r="W65" s="8">
        <f t="shared" si="13"/>
        <v>790</v>
      </c>
      <c r="X65" s="8">
        <f t="shared" si="13"/>
        <v>0</v>
      </c>
      <c r="Y65" s="8">
        <f t="shared" si="13"/>
        <v>0</v>
      </c>
      <c r="Z65" s="8">
        <f t="shared" si="13"/>
        <v>0</v>
      </c>
      <c r="AA65" s="8">
        <f t="shared" si="13"/>
        <v>0</v>
      </c>
      <c r="AB65" s="8">
        <f t="shared" si="13"/>
        <v>0</v>
      </c>
      <c r="AC65" s="8">
        <f t="shared" si="13"/>
        <v>790</v>
      </c>
      <c r="AD65" s="8">
        <f t="shared" si="8"/>
        <v>28938.7</v>
      </c>
    </row>
    <row r="66" spans="1:30" x14ac:dyDescent="0.3">
      <c r="A66" s="5" t="s">
        <v>89</v>
      </c>
      <c r="B66" s="8">
        <f t="shared" ref="B66:AC66" si="14">(((B55)+(B56))+(B59))+(B65)</f>
        <v>75</v>
      </c>
      <c r="C66" s="8">
        <f t="shared" si="14"/>
        <v>0</v>
      </c>
      <c r="D66" s="8">
        <f t="shared" si="14"/>
        <v>6835</v>
      </c>
      <c r="E66" s="8">
        <f t="shared" si="14"/>
        <v>0</v>
      </c>
      <c r="F66" s="8">
        <f t="shared" si="14"/>
        <v>0</v>
      </c>
      <c r="G66" s="8">
        <f t="shared" si="14"/>
        <v>1100</v>
      </c>
      <c r="H66" s="8">
        <f t="shared" si="14"/>
        <v>2982.5</v>
      </c>
      <c r="I66" s="8">
        <f t="shared" si="14"/>
        <v>790</v>
      </c>
      <c r="J66" s="8">
        <f t="shared" si="14"/>
        <v>1000</v>
      </c>
      <c r="K66" s="8">
        <f t="shared" si="14"/>
        <v>0</v>
      </c>
      <c r="L66" s="8">
        <f t="shared" si="14"/>
        <v>0</v>
      </c>
      <c r="M66" s="8">
        <f t="shared" si="14"/>
        <v>0</v>
      </c>
      <c r="N66" s="8">
        <f t="shared" si="14"/>
        <v>0</v>
      </c>
      <c r="O66" s="8">
        <f t="shared" si="14"/>
        <v>2644.88</v>
      </c>
      <c r="P66" s="8">
        <f t="shared" si="14"/>
        <v>11726</v>
      </c>
      <c r="Q66" s="8">
        <f t="shared" si="14"/>
        <v>1100</v>
      </c>
      <c r="R66" s="8">
        <f t="shared" si="14"/>
        <v>0</v>
      </c>
      <c r="S66" s="8">
        <f t="shared" si="14"/>
        <v>0</v>
      </c>
      <c r="T66" s="8">
        <f t="shared" si="14"/>
        <v>1191.32</v>
      </c>
      <c r="U66" s="8">
        <f t="shared" si="14"/>
        <v>1290</v>
      </c>
      <c r="V66" s="8">
        <f t="shared" si="14"/>
        <v>0</v>
      </c>
      <c r="W66" s="8">
        <f t="shared" si="14"/>
        <v>790</v>
      </c>
      <c r="X66" s="8">
        <f t="shared" si="14"/>
        <v>0</v>
      </c>
      <c r="Y66" s="8">
        <f t="shared" si="14"/>
        <v>0</v>
      </c>
      <c r="Z66" s="8">
        <f t="shared" si="14"/>
        <v>0</v>
      </c>
      <c r="AA66" s="8">
        <f t="shared" si="14"/>
        <v>0</v>
      </c>
      <c r="AB66" s="8">
        <f t="shared" si="14"/>
        <v>0</v>
      </c>
      <c r="AC66" s="8">
        <f t="shared" si="14"/>
        <v>790</v>
      </c>
      <c r="AD66" s="8">
        <f t="shared" si="8"/>
        <v>32314.7</v>
      </c>
    </row>
    <row r="67" spans="1:30" x14ac:dyDescent="0.3">
      <c r="A67" s="5" t="s">
        <v>90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7">
        <f t="shared" si="8"/>
        <v>0</v>
      </c>
    </row>
    <row r="68" spans="1:30" x14ac:dyDescent="0.3">
      <c r="A68" s="5" t="s">
        <v>91</v>
      </c>
      <c r="B68" s="7">
        <f>3012.32</f>
        <v>3012.32</v>
      </c>
      <c r="C68" s="6"/>
      <c r="D68" s="7">
        <f>0</f>
        <v>0</v>
      </c>
      <c r="E68" s="7">
        <f>3139.2</f>
        <v>3139.2</v>
      </c>
      <c r="F68" s="6"/>
      <c r="G68" s="7">
        <f>10094</f>
        <v>10094</v>
      </c>
      <c r="H68" s="6"/>
      <c r="I68" s="6"/>
      <c r="J68" s="6"/>
      <c r="K68" s="6"/>
      <c r="L68" s="6"/>
      <c r="M68" s="6"/>
      <c r="N68" s="6"/>
      <c r="O68" s="7">
        <f>14346.49</f>
        <v>14346.49</v>
      </c>
      <c r="P68" s="6"/>
      <c r="Q68" s="6"/>
      <c r="R68" s="7">
        <f>89</f>
        <v>89</v>
      </c>
      <c r="S68" s="6"/>
      <c r="T68" s="7">
        <f>2587.16</f>
        <v>2587.16</v>
      </c>
      <c r="U68" s="6"/>
      <c r="V68" s="7">
        <f>212.42</f>
        <v>212.42</v>
      </c>
      <c r="W68" s="6"/>
      <c r="X68" s="6"/>
      <c r="Y68" s="6"/>
      <c r="Z68" s="6"/>
      <c r="AA68" s="6"/>
      <c r="AB68" s="6"/>
      <c r="AC68" s="7">
        <f>649</f>
        <v>649</v>
      </c>
      <c r="AD68" s="7">
        <f t="shared" si="8"/>
        <v>34129.589999999997</v>
      </c>
    </row>
    <row r="69" spans="1:30" x14ac:dyDescent="0.3">
      <c r="A69" s="5" t="s">
        <v>92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>
        <f>3172.18</f>
        <v>3172.18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7">
        <f t="shared" si="8"/>
        <v>3172.18</v>
      </c>
    </row>
    <row r="70" spans="1:30" x14ac:dyDescent="0.3">
      <c r="A70" s="5" t="s">
        <v>93</v>
      </c>
      <c r="B70" s="6"/>
      <c r="C70" s="6"/>
      <c r="D70" s="6"/>
      <c r="E70" s="6"/>
      <c r="F70" s="6"/>
      <c r="G70" s="6"/>
      <c r="H70" s="6"/>
      <c r="I70" s="6"/>
      <c r="J70" s="7">
        <f>3800</f>
        <v>3800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>
        <f>280.9</f>
        <v>280.89999999999998</v>
      </c>
      <c r="AC70" s="6"/>
      <c r="AD70" s="7">
        <f t="shared" si="8"/>
        <v>4080.9</v>
      </c>
    </row>
    <row r="71" spans="1:30" x14ac:dyDescent="0.3">
      <c r="A71" s="5" t="s">
        <v>94</v>
      </c>
      <c r="B71" s="7">
        <f>500</f>
        <v>500</v>
      </c>
      <c r="C71" s="6"/>
      <c r="D71" s="6"/>
      <c r="E71" s="6"/>
      <c r="F71" s="6"/>
      <c r="G71" s="6"/>
      <c r="H71" s="6"/>
      <c r="I71" s="6"/>
      <c r="J71" s="7">
        <f>2000</f>
        <v>2000</v>
      </c>
      <c r="K71" s="6"/>
      <c r="L71" s="6"/>
      <c r="M71" s="6"/>
      <c r="N71" s="6"/>
      <c r="O71" s="7">
        <f>3298.3</f>
        <v>3298.3</v>
      </c>
      <c r="P71" s="6"/>
      <c r="Q71" s="6"/>
      <c r="R71" s="6"/>
      <c r="S71" s="6"/>
      <c r="T71" s="6"/>
      <c r="U71" s="6"/>
      <c r="V71" s="6"/>
      <c r="W71" s="6"/>
      <c r="X71" s="6"/>
      <c r="Y71" s="7">
        <f>31817.5</f>
        <v>31817.5</v>
      </c>
      <c r="Z71" s="6"/>
      <c r="AA71" s="6"/>
      <c r="AB71" s="6"/>
      <c r="AC71" s="6"/>
      <c r="AD71" s="7">
        <f t="shared" ref="AD71:AD102" si="15">(((((((((((((((((((((((((((B71)+(C71))+(D71))+(E71))+(F71))+(G71))+(H71))+(I71))+(J71))+(K71))+(L71))+(M71))+(N71))+(O71))+(P71))+(Q71))+(R71))+(S71))+(T71))+(U71))+(V71))+(W71))+(X71))+(Y71))+(Z71))+(AA71))+(AB71))+(AC71)</f>
        <v>37615.800000000003</v>
      </c>
    </row>
    <row r="72" spans="1:30" x14ac:dyDescent="0.3">
      <c r="A72" s="5" t="s">
        <v>95</v>
      </c>
      <c r="B72" s="8">
        <f t="shared" ref="B72:AC72" si="16">((((B67)+(B68))+(B69))+(B70))+(B71)</f>
        <v>3512.32</v>
      </c>
      <c r="C72" s="8">
        <f t="shared" si="16"/>
        <v>0</v>
      </c>
      <c r="D72" s="8">
        <f t="shared" si="16"/>
        <v>0</v>
      </c>
      <c r="E72" s="8">
        <f t="shared" si="16"/>
        <v>3139.2</v>
      </c>
      <c r="F72" s="8">
        <f t="shared" si="16"/>
        <v>0</v>
      </c>
      <c r="G72" s="8">
        <f t="shared" si="16"/>
        <v>10094</v>
      </c>
      <c r="H72" s="8">
        <f t="shared" si="16"/>
        <v>0</v>
      </c>
      <c r="I72" s="8">
        <f t="shared" si="16"/>
        <v>0</v>
      </c>
      <c r="J72" s="8">
        <f t="shared" si="16"/>
        <v>5800</v>
      </c>
      <c r="K72" s="8">
        <f t="shared" si="16"/>
        <v>0</v>
      </c>
      <c r="L72" s="8">
        <f t="shared" si="16"/>
        <v>0</v>
      </c>
      <c r="M72" s="8">
        <f t="shared" si="16"/>
        <v>0</v>
      </c>
      <c r="N72" s="8">
        <f t="shared" si="16"/>
        <v>0</v>
      </c>
      <c r="O72" s="8">
        <f t="shared" si="16"/>
        <v>17644.79</v>
      </c>
      <c r="P72" s="8">
        <f t="shared" si="16"/>
        <v>3172.18</v>
      </c>
      <c r="Q72" s="8">
        <f t="shared" si="16"/>
        <v>0</v>
      </c>
      <c r="R72" s="8">
        <f t="shared" si="16"/>
        <v>89</v>
      </c>
      <c r="S72" s="8">
        <f t="shared" si="16"/>
        <v>0</v>
      </c>
      <c r="T72" s="8">
        <f t="shared" si="16"/>
        <v>2587.16</v>
      </c>
      <c r="U72" s="8">
        <f t="shared" si="16"/>
        <v>0</v>
      </c>
      <c r="V72" s="8">
        <f t="shared" si="16"/>
        <v>212.42</v>
      </c>
      <c r="W72" s="8">
        <f t="shared" si="16"/>
        <v>0</v>
      </c>
      <c r="X72" s="8">
        <f t="shared" si="16"/>
        <v>0</v>
      </c>
      <c r="Y72" s="8">
        <f t="shared" si="16"/>
        <v>31817.5</v>
      </c>
      <c r="Z72" s="8">
        <f t="shared" si="16"/>
        <v>0</v>
      </c>
      <c r="AA72" s="8">
        <f t="shared" si="16"/>
        <v>0</v>
      </c>
      <c r="AB72" s="8">
        <f t="shared" si="16"/>
        <v>280.89999999999998</v>
      </c>
      <c r="AC72" s="8">
        <f t="shared" si="16"/>
        <v>649</v>
      </c>
      <c r="AD72" s="8">
        <f t="shared" si="15"/>
        <v>78998.469999999987</v>
      </c>
    </row>
    <row r="73" spans="1:30" x14ac:dyDescent="0.3">
      <c r="A73" s="5" t="s">
        <v>96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7">
        <f t="shared" si="15"/>
        <v>0</v>
      </c>
    </row>
    <row r="74" spans="1:30" x14ac:dyDescent="0.3">
      <c r="A74" s="5" t="s">
        <v>97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>
        <f>8.77</f>
        <v>8.77</v>
      </c>
      <c r="Q74" s="6"/>
      <c r="R74" s="6"/>
      <c r="S74" s="6"/>
      <c r="T74" s="7">
        <f>158.4</f>
        <v>158.4</v>
      </c>
      <c r="U74" s="6"/>
      <c r="V74" s="6"/>
      <c r="W74" s="6"/>
      <c r="X74" s="6"/>
      <c r="Y74" s="6"/>
      <c r="Z74" s="6"/>
      <c r="AA74" s="6"/>
      <c r="AB74" s="6"/>
      <c r="AC74" s="6"/>
      <c r="AD74" s="7">
        <f t="shared" si="15"/>
        <v>167.17000000000002</v>
      </c>
    </row>
    <row r="75" spans="1:30" x14ac:dyDescent="0.3">
      <c r="A75" s="5" t="s">
        <v>98</v>
      </c>
      <c r="B75" s="6"/>
      <c r="C75" s="7">
        <f>-67.15</f>
        <v>-67.150000000000006</v>
      </c>
      <c r="D75" s="6"/>
      <c r="E75" s="6"/>
      <c r="F75" s="6"/>
      <c r="G75" s="7">
        <f>85</f>
        <v>85</v>
      </c>
      <c r="H75" s="7">
        <f>674.78</f>
        <v>674.78</v>
      </c>
      <c r="I75" s="6"/>
      <c r="J75" s="7">
        <f>1350</f>
        <v>1350</v>
      </c>
      <c r="K75" s="6"/>
      <c r="L75" s="6"/>
      <c r="M75" s="6"/>
      <c r="N75" s="6"/>
      <c r="O75" s="7">
        <f>97.46</f>
        <v>97.46</v>
      </c>
      <c r="P75" s="7">
        <f>940.76</f>
        <v>940.76</v>
      </c>
      <c r="Q75" s="6"/>
      <c r="R75" s="6"/>
      <c r="S75" s="6"/>
      <c r="T75" s="7">
        <f>132.46</f>
        <v>132.46</v>
      </c>
      <c r="U75" s="6"/>
      <c r="V75" s="6"/>
      <c r="W75" s="6"/>
      <c r="X75" s="6"/>
      <c r="Y75" s="7">
        <f>360</f>
        <v>360</v>
      </c>
      <c r="Z75" s="6"/>
      <c r="AA75" s="6"/>
      <c r="AB75" s="6"/>
      <c r="AC75" s="6"/>
      <c r="AD75" s="7">
        <f t="shared" si="15"/>
        <v>3573.3100000000004</v>
      </c>
    </row>
    <row r="76" spans="1:30" x14ac:dyDescent="0.3">
      <c r="A76" s="5" t="s">
        <v>99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>
        <f>3165</f>
        <v>3165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7">
        <f t="shared" si="15"/>
        <v>3165</v>
      </c>
    </row>
    <row r="77" spans="1:30" x14ac:dyDescent="0.3">
      <c r="A77" s="5" t="s">
        <v>100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>
        <f>3669.9</f>
        <v>3669.9</v>
      </c>
      <c r="P77" s="6"/>
      <c r="Q77" s="6"/>
      <c r="R77" s="6"/>
      <c r="S77" s="6"/>
      <c r="T77" s="6"/>
      <c r="U77" s="6"/>
      <c r="V77" s="6"/>
      <c r="W77" s="6"/>
      <c r="X77" s="6"/>
      <c r="Y77" s="7">
        <f>425.91</f>
        <v>425.91</v>
      </c>
      <c r="Z77" s="6"/>
      <c r="AA77" s="6"/>
      <c r="AB77" s="7">
        <f>350.16</f>
        <v>350.16</v>
      </c>
      <c r="AC77" s="6"/>
      <c r="AD77" s="7">
        <f t="shared" si="15"/>
        <v>4445.97</v>
      </c>
    </row>
    <row r="78" spans="1:30" x14ac:dyDescent="0.3">
      <c r="A78" s="5" t="s">
        <v>101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>
        <f>129.67</f>
        <v>129.66999999999999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7">
        <f t="shared" si="15"/>
        <v>129.66999999999999</v>
      </c>
    </row>
    <row r="79" spans="1:30" x14ac:dyDescent="0.3">
      <c r="A79" s="5" t="s">
        <v>102</v>
      </c>
      <c r="B79" s="7">
        <f>9598.63</f>
        <v>9598.6299999999992</v>
      </c>
      <c r="C79" s="6"/>
      <c r="D79" s="7">
        <f>4933</f>
        <v>4933</v>
      </c>
      <c r="E79" s="7">
        <f>787.5</f>
        <v>787.5</v>
      </c>
      <c r="F79" s="6"/>
      <c r="G79" s="7">
        <f>7382.85</f>
        <v>7382.85</v>
      </c>
      <c r="H79" s="7">
        <f>2639.25</f>
        <v>2639.25</v>
      </c>
      <c r="I79" s="6"/>
      <c r="J79" s="7">
        <f>799.29</f>
        <v>799.29</v>
      </c>
      <c r="K79" s="7">
        <f>13253.41</f>
        <v>13253.41</v>
      </c>
      <c r="L79" s="6"/>
      <c r="M79" s="6"/>
      <c r="N79" s="6"/>
      <c r="O79" s="7">
        <f>65937.03</f>
        <v>65937.03</v>
      </c>
      <c r="P79" s="6"/>
      <c r="Q79" s="7">
        <f>2261.07</f>
        <v>2261.0700000000002</v>
      </c>
      <c r="R79" s="6"/>
      <c r="S79" s="6"/>
      <c r="T79" s="7">
        <f>570</f>
        <v>570</v>
      </c>
      <c r="U79" s="6"/>
      <c r="V79" s="7">
        <f>-70</f>
        <v>-70</v>
      </c>
      <c r="W79" s="6"/>
      <c r="X79" s="6"/>
      <c r="Y79" s="7">
        <f>14881.5</f>
        <v>14881.5</v>
      </c>
      <c r="Z79" s="6"/>
      <c r="AA79" s="7">
        <f>200</f>
        <v>200</v>
      </c>
      <c r="AB79" s="6"/>
      <c r="AC79" s="6"/>
      <c r="AD79" s="7">
        <f t="shared" si="15"/>
        <v>123173.53</v>
      </c>
    </row>
    <row r="80" spans="1:30" x14ac:dyDescent="0.3">
      <c r="A80" s="5" t="s">
        <v>103</v>
      </c>
      <c r="B80" s="6"/>
      <c r="C80" s="6"/>
      <c r="D80" s="7">
        <f>625</f>
        <v>625</v>
      </c>
      <c r="E80" s="7">
        <f>-28</f>
        <v>-28</v>
      </c>
      <c r="F80" s="6"/>
      <c r="G80" s="6"/>
      <c r="H80" s="6"/>
      <c r="I80" s="6"/>
      <c r="J80" s="6"/>
      <c r="K80" s="6"/>
      <c r="L80" s="6"/>
      <c r="M80" s="6"/>
      <c r="N80" s="6"/>
      <c r="O80" s="7">
        <f>4168</f>
        <v>4168</v>
      </c>
      <c r="P80" s="6"/>
      <c r="Q80" s="6"/>
      <c r="R80" s="6"/>
      <c r="S80" s="6"/>
      <c r="T80" s="7">
        <f>170.55</f>
        <v>170.55</v>
      </c>
      <c r="U80" s="6"/>
      <c r="V80" s="6"/>
      <c r="W80" s="6"/>
      <c r="X80" s="6"/>
      <c r="Y80" s="6"/>
      <c r="Z80" s="6"/>
      <c r="AA80" s="6"/>
      <c r="AB80" s="6"/>
      <c r="AC80" s="6"/>
      <c r="AD80" s="7">
        <f t="shared" si="15"/>
        <v>4935.55</v>
      </c>
    </row>
    <row r="81" spans="1:30" x14ac:dyDescent="0.3">
      <c r="A81" s="5" t="s">
        <v>104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>
        <f>-240</f>
        <v>-240</v>
      </c>
      <c r="U81" s="6"/>
      <c r="V81" s="6"/>
      <c r="W81" s="6"/>
      <c r="X81" s="6"/>
      <c r="Y81" s="6"/>
      <c r="Z81" s="7">
        <f>1281</f>
        <v>1281</v>
      </c>
      <c r="AA81" s="6"/>
      <c r="AB81" s="6"/>
      <c r="AC81" s="6"/>
      <c r="AD81" s="7">
        <f t="shared" si="15"/>
        <v>1041</v>
      </c>
    </row>
    <row r="82" spans="1:30" x14ac:dyDescent="0.3">
      <c r="A82" s="5" t="s">
        <v>105</v>
      </c>
      <c r="B82" s="8">
        <f t="shared" ref="B82:AC82" si="17">((((((((B73)+(B74))+(B75))+(B76))+(B77))+(B78))+(B79))+(B80))+(B81)</f>
        <v>9598.6299999999992</v>
      </c>
      <c r="C82" s="8">
        <f t="shared" si="17"/>
        <v>-67.150000000000006</v>
      </c>
      <c r="D82" s="8">
        <f t="shared" si="17"/>
        <v>5558</v>
      </c>
      <c r="E82" s="8">
        <f t="shared" si="17"/>
        <v>759.5</v>
      </c>
      <c r="F82" s="8">
        <f t="shared" si="17"/>
        <v>0</v>
      </c>
      <c r="G82" s="8">
        <f t="shared" si="17"/>
        <v>7467.85</v>
      </c>
      <c r="H82" s="8">
        <f t="shared" si="17"/>
        <v>3314.0299999999997</v>
      </c>
      <c r="I82" s="8">
        <f t="shared" si="17"/>
        <v>0</v>
      </c>
      <c r="J82" s="8">
        <f t="shared" si="17"/>
        <v>2149.29</v>
      </c>
      <c r="K82" s="8">
        <f t="shared" si="17"/>
        <v>13253.41</v>
      </c>
      <c r="L82" s="8">
        <f t="shared" si="17"/>
        <v>0</v>
      </c>
      <c r="M82" s="8">
        <f t="shared" si="17"/>
        <v>0</v>
      </c>
      <c r="N82" s="8">
        <f t="shared" si="17"/>
        <v>0</v>
      </c>
      <c r="O82" s="8">
        <f t="shared" si="17"/>
        <v>77037.39</v>
      </c>
      <c r="P82" s="8">
        <f t="shared" si="17"/>
        <v>1079.2</v>
      </c>
      <c r="Q82" s="8">
        <f t="shared" si="17"/>
        <v>2261.0700000000002</v>
      </c>
      <c r="R82" s="8">
        <f t="shared" si="17"/>
        <v>0</v>
      </c>
      <c r="S82" s="8">
        <f t="shared" si="17"/>
        <v>0</v>
      </c>
      <c r="T82" s="8">
        <f t="shared" si="17"/>
        <v>791.41000000000008</v>
      </c>
      <c r="U82" s="8">
        <f t="shared" si="17"/>
        <v>0</v>
      </c>
      <c r="V82" s="8">
        <f t="shared" si="17"/>
        <v>-70</v>
      </c>
      <c r="W82" s="8">
        <f t="shared" si="17"/>
        <v>0</v>
      </c>
      <c r="X82" s="8">
        <f t="shared" si="17"/>
        <v>0</v>
      </c>
      <c r="Y82" s="8">
        <f t="shared" si="17"/>
        <v>15667.41</v>
      </c>
      <c r="Z82" s="8">
        <f t="shared" si="17"/>
        <v>1281</v>
      </c>
      <c r="AA82" s="8">
        <f t="shared" si="17"/>
        <v>200</v>
      </c>
      <c r="AB82" s="8">
        <f t="shared" si="17"/>
        <v>350.16</v>
      </c>
      <c r="AC82" s="8">
        <f t="shared" si="17"/>
        <v>0</v>
      </c>
      <c r="AD82" s="8">
        <f t="shared" si="15"/>
        <v>140631.20000000001</v>
      </c>
    </row>
    <row r="83" spans="1:30" x14ac:dyDescent="0.3">
      <c r="A83" s="5" t="s">
        <v>106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7">
        <f t="shared" si="15"/>
        <v>0</v>
      </c>
    </row>
    <row r="84" spans="1:30" x14ac:dyDescent="0.3">
      <c r="A84" s="5" t="s">
        <v>107</v>
      </c>
      <c r="B84" s="6"/>
      <c r="C84" s="6"/>
      <c r="D84" s="6"/>
      <c r="E84" s="6"/>
      <c r="F84" s="6"/>
      <c r="G84" s="7">
        <f>30</f>
        <v>30</v>
      </c>
      <c r="H84" s="6"/>
      <c r="I84" s="6"/>
      <c r="J84" s="6"/>
      <c r="K84" s="6"/>
      <c r="L84" s="6"/>
      <c r="M84" s="6"/>
      <c r="N84" s="6"/>
      <c r="O84" s="6"/>
      <c r="P84" s="7">
        <f>12</f>
        <v>12</v>
      </c>
      <c r="Q84" s="6"/>
      <c r="R84" s="6"/>
      <c r="S84" s="6"/>
      <c r="T84" s="7">
        <f>20</f>
        <v>20</v>
      </c>
      <c r="U84" s="6"/>
      <c r="V84" s="6"/>
      <c r="W84" s="6"/>
      <c r="X84" s="6"/>
      <c r="Y84" s="6"/>
      <c r="Z84" s="6"/>
      <c r="AA84" s="6"/>
      <c r="AB84" s="6"/>
      <c r="AC84" s="6"/>
      <c r="AD84" s="7">
        <f t="shared" si="15"/>
        <v>62</v>
      </c>
    </row>
    <row r="85" spans="1:30" x14ac:dyDescent="0.3">
      <c r="A85" s="5" t="s">
        <v>108</v>
      </c>
      <c r="B85" s="6"/>
      <c r="C85" s="6"/>
      <c r="D85" s="7">
        <f>6168.1</f>
        <v>6168.1</v>
      </c>
      <c r="E85" s="7">
        <f>225</f>
        <v>225</v>
      </c>
      <c r="F85" s="6"/>
      <c r="G85" s="7">
        <f>40</f>
        <v>40</v>
      </c>
      <c r="H85" s="7">
        <f>934</f>
        <v>934</v>
      </c>
      <c r="I85" s="6"/>
      <c r="J85" s="7">
        <f>640</f>
        <v>640</v>
      </c>
      <c r="K85" s="6"/>
      <c r="L85" s="6"/>
      <c r="M85" s="6"/>
      <c r="N85" s="7">
        <f>2500</f>
        <v>2500</v>
      </c>
      <c r="O85" s="7">
        <f>20223.95</f>
        <v>20223.95</v>
      </c>
      <c r="P85" s="7">
        <f>150</f>
        <v>150</v>
      </c>
      <c r="Q85" s="6"/>
      <c r="R85" s="6"/>
      <c r="S85" s="6"/>
      <c r="T85" s="6"/>
      <c r="U85" s="6"/>
      <c r="V85" s="6"/>
      <c r="W85" s="7">
        <f>300</f>
        <v>300</v>
      </c>
      <c r="X85" s="6"/>
      <c r="Y85" s="7">
        <f>1920</f>
        <v>1920</v>
      </c>
      <c r="Z85" s="6"/>
      <c r="AA85" s="6"/>
      <c r="AB85" s="6"/>
      <c r="AC85" s="6"/>
      <c r="AD85" s="7">
        <f t="shared" si="15"/>
        <v>33101.050000000003</v>
      </c>
    </row>
    <row r="86" spans="1:30" x14ac:dyDescent="0.3">
      <c r="A86" s="5" t="s">
        <v>109</v>
      </c>
      <c r="B86" s="8">
        <f t="shared" ref="B86:AC86" si="18">((B83)+(B84))+(B85)</f>
        <v>0</v>
      </c>
      <c r="C86" s="8">
        <f t="shared" si="18"/>
        <v>0</v>
      </c>
      <c r="D86" s="8">
        <f t="shared" si="18"/>
        <v>6168.1</v>
      </c>
      <c r="E86" s="8">
        <f t="shared" si="18"/>
        <v>225</v>
      </c>
      <c r="F86" s="8">
        <f t="shared" si="18"/>
        <v>0</v>
      </c>
      <c r="G86" s="8">
        <f t="shared" si="18"/>
        <v>70</v>
      </c>
      <c r="H86" s="8">
        <f t="shared" si="18"/>
        <v>934</v>
      </c>
      <c r="I86" s="8">
        <f t="shared" si="18"/>
        <v>0</v>
      </c>
      <c r="J86" s="8">
        <f t="shared" si="18"/>
        <v>640</v>
      </c>
      <c r="K86" s="8">
        <f t="shared" si="18"/>
        <v>0</v>
      </c>
      <c r="L86" s="8">
        <f t="shared" si="18"/>
        <v>0</v>
      </c>
      <c r="M86" s="8">
        <f t="shared" si="18"/>
        <v>0</v>
      </c>
      <c r="N86" s="8">
        <f t="shared" si="18"/>
        <v>2500</v>
      </c>
      <c r="O86" s="8">
        <f t="shared" si="18"/>
        <v>20223.95</v>
      </c>
      <c r="P86" s="8">
        <f t="shared" si="18"/>
        <v>162</v>
      </c>
      <c r="Q86" s="8">
        <f t="shared" si="18"/>
        <v>0</v>
      </c>
      <c r="R86" s="8">
        <f t="shared" si="18"/>
        <v>0</v>
      </c>
      <c r="S86" s="8">
        <f t="shared" si="18"/>
        <v>0</v>
      </c>
      <c r="T86" s="8">
        <f t="shared" si="18"/>
        <v>20</v>
      </c>
      <c r="U86" s="8">
        <f t="shared" si="18"/>
        <v>0</v>
      </c>
      <c r="V86" s="8">
        <f t="shared" si="18"/>
        <v>0</v>
      </c>
      <c r="W86" s="8">
        <f t="shared" si="18"/>
        <v>300</v>
      </c>
      <c r="X86" s="8">
        <f t="shared" si="18"/>
        <v>0</v>
      </c>
      <c r="Y86" s="8">
        <f t="shared" si="18"/>
        <v>1920</v>
      </c>
      <c r="Z86" s="8">
        <f t="shared" si="18"/>
        <v>0</v>
      </c>
      <c r="AA86" s="8">
        <f t="shared" si="18"/>
        <v>0</v>
      </c>
      <c r="AB86" s="8">
        <f t="shared" si="18"/>
        <v>0</v>
      </c>
      <c r="AC86" s="8">
        <f t="shared" si="18"/>
        <v>0</v>
      </c>
      <c r="AD86" s="8">
        <f t="shared" si="15"/>
        <v>33163.050000000003</v>
      </c>
    </row>
    <row r="87" spans="1:30" x14ac:dyDescent="0.3">
      <c r="A87" s="5" t="s">
        <v>110</v>
      </c>
      <c r="B87" s="6"/>
      <c r="C87" s="6"/>
      <c r="D87" s="6"/>
      <c r="E87" s="7">
        <f>225</f>
        <v>225</v>
      </c>
      <c r="F87" s="6"/>
      <c r="G87" s="6"/>
      <c r="H87" s="6"/>
      <c r="I87" s="6"/>
      <c r="J87" s="7">
        <f>159</f>
        <v>159</v>
      </c>
      <c r="K87" s="6"/>
      <c r="L87" s="6"/>
      <c r="M87" s="6"/>
      <c r="N87" s="6"/>
      <c r="O87" s="7">
        <f>3979.11</f>
        <v>3979.11</v>
      </c>
      <c r="P87" s="6"/>
      <c r="Q87" s="6"/>
      <c r="R87" s="7">
        <f>225</f>
        <v>225</v>
      </c>
      <c r="S87" s="7">
        <f>356.62</f>
        <v>356.62</v>
      </c>
      <c r="T87" s="6"/>
      <c r="U87" s="7">
        <f>1247.91</f>
        <v>1247.9100000000001</v>
      </c>
      <c r="V87" s="6"/>
      <c r="W87" s="7">
        <f>1049.15</f>
        <v>1049.1500000000001</v>
      </c>
      <c r="X87" s="6"/>
      <c r="Y87" s="7">
        <f>244</f>
        <v>244</v>
      </c>
      <c r="Z87" s="6"/>
      <c r="AA87" s="7">
        <f>252</f>
        <v>252</v>
      </c>
      <c r="AB87" s="6"/>
      <c r="AC87" s="6"/>
      <c r="AD87" s="7">
        <f t="shared" si="15"/>
        <v>7737.7900000000009</v>
      </c>
    </row>
    <row r="88" spans="1:30" x14ac:dyDescent="0.3">
      <c r="A88" s="5" t="s">
        <v>111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7">
        <f t="shared" si="15"/>
        <v>0</v>
      </c>
    </row>
    <row r="89" spans="1:30" x14ac:dyDescent="0.3">
      <c r="A89" s="5" t="s">
        <v>112</v>
      </c>
      <c r="B89" s="6"/>
      <c r="C89" s="6"/>
      <c r="D89" s="6"/>
      <c r="E89" s="6"/>
      <c r="F89" s="6"/>
      <c r="G89" s="7">
        <f>1238.56</f>
        <v>1238.56</v>
      </c>
      <c r="H89" s="6"/>
      <c r="I89" s="6"/>
      <c r="J89" s="6"/>
      <c r="K89" s="6"/>
      <c r="L89" s="6"/>
      <c r="M89" s="6"/>
      <c r="N89" s="6"/>
      <c r="O89" s="6"/>
      <c r="P89" s="6"/>
      <c r="Q89" s="7">
        <f>619.28</f>
        <v>619.28</v>
      </c>
      <c r="R89" s="6"/>
      <c r="S89" s="6"/>
      <c r="T89" s="6"/>
      <c r="U89" s="6"/>
      <c r="V89" s="6"/>
      <c r="W89" s="6"/>
      <c r="X89" s="6"/>
      <c r="Y89" s="6"/>
      <c r="Z89" s="7">
        <f>15117.58</f>
        <v>15117.58</v>
      </c>
      <c r="AA89" s="6"/>
      <c r="AB89" s="6"/>
      <c r="AC89" s="6"/>
      <c r="AD89" s="7">
        <f t="shared" si="15"/>
        <v>16975.419999999998</v>
      </c>
    </row>
    <row r="90" spans="1:30" x14ac:dyDescent="0.3">
      <c r="A90" s="5" t="s">
        <v>113</v>
      </c>
      <c r="B90" s="8">
        <f t="shared" ref="B90:AC90" si="19">(B88)+(B89)</f>
        <v>0</v>
      </c>
      <c r="C90" s="8">
        <f t="shared" si="19"/>
        <v>0</v>
      </c>
      <c r="D90" s="8">
        <f t="shared" si="19"/>
        <v>0</v>
      </c>
      <c r="E90" s="8">
        <f t="shared" si="19"/>
        <v>0</v>
      </c>
      <c r="F90" s="8">
        <f t="shared" si="19"/>
        <v>0</v>
      </c>
      <c r="G90" s="8">
        <f t="shared" si="19"/>
        <v>1238.56</v>
      </c>
      <c r="H90" s="8">
        <f t="shared" si="19"/>
        <v>0</v>
      </c>
      <c r="I90" s="8">
        <f t="shared" si="19"/>
        <v>0</v>
      </c>
      <c r="J90" s="8">
        <f t="shared" si="19"/>
        <v>0</v>
      </c>
      <c r="K90" s="8">
        <f t="shared" si="19"/>
        <v>0</v>
      </c>
      <c r="L90" s="8">
        <f t="shared" si="19"/>
        <v>0</v>
      </c>
      <c r="M90" s="8">
        <f t="shared" si="19"/>
        <v>0</v>
      </c>
      <c r="N90" s="8">
        <f t="shared" si="19"/>
        <v>0</v>
      </c>
      <c r="O90" s="8">
        <f t="shared" si="19"/>
        <v>0</v>
      </c>
      <c r="P90" s="8">
        <f t="shared" si="19"/>
        <v>0</v>
      </c>
      <c r="Q90" s="8">
        <f t="shared" si="19"/>
        <v>619.28</v>
      </c>
      <c r="R90" s="8">
        <f t="shared" si="19"/>
        <v>0</v>
      </c>
      <c r="S90" s="8">
        <f t="shared" si="19"/>
        <v>0</v>
      </c>
      <c r="T90" s="8">
        <f t="shared" si="19"/>
        <v>0</v>
      </c>
      <c r="U90" s="8">
        <f t="shared" si="19"/>
        <v>0</v>
      </c>
      <c r="V90" s="8">
        <f t="shared" si="19"/>
        <v>0</v>
      </c>
      <c r="W90" s="8">
        <f t="shared" si="19"/>
        <v>0</v>
      </c>
      <c r="X90" s="8">
        <f t="shared" si="19"/>
        <v>0</v>
      </c>
      <c r="Y90" s="8">
        <f t="shared" si="19"/>
        <v>0</v>
      </c>
      <c r="Z90" s="8">
        <f t="shared" si="19"/>
        <v>15117.58</v>
      </c>
      <c r="AA90" s="8">
        <f t="shared" si="19"/>
        <v>0</v>
      </c>
      <c r="AB90" s="8">
        <f t="shared" si="19"/>
        <v>0</v>
      </c>
      <c r="AC90" s="8">
        <f t="shared" si="19"/>
        <v>0</v>
      </c>
      <c r="AD90" s="8">
        <f t="shared" si="15"/>
        <v>16975.419999999998</v>
      </c>
    </row>
    <row r="91" spans="1:30" x14ac:dyDescent="0.3">
      <c r="A91" s="5" t="s">
        <v>114</v>
      </c>
      <c r="B91" s="8">
        <f t="shared" ref="B91:AC91" si="20">(((((((((B42)+(B47))+(B48))+(B54))+(B66))+(B72))+(B82))+(B86))+(B87))+(B90)</f>
        <v>13806.789999999999</v>
      </c>
      <c r="C91" s="8">
        <f t="shared" si="20"/>
        <v>-67.150000000000006</v>
      </c>
      <c r="D91" s="8">
        <f t="shared" si="20"/>
        <v>18831.099999999999</v>
      </c>
      <c r="E91" s="8">
        <f t="shared" si="20"/>
        <v>4348.7</v>
      </c>
      <c r="F91" s="8">
        <f t="shared" si="20"/>
        <v>0</v>
      </c>
      <c r="G91" s="8">
        <f t="shared" si="20"/>
        <v>19970.41</v>
      </c>
      <c r="H91" s="8">
        <f t="shared" si="20"/>
        <v>13980.529999999999</v>
      </c>
      <c r="I91" s="8">
        <f t="shared" si="20"/>
        <v>790</v>
      </c>
      <c r="J91" s="8">
        <f t="shared" si="20"/>
        <v>13743.59</v>
      </c>
      <c r="K91" s="8">
        <f t="shared" si="20"/>
        <v>13253.41</v>
      </c>
      <c r="L91" s="8">
        <f t="shared" si="20"/>
        <v>729.91</v>
      </c>
      <c r="M91" s="8">
        <f t="shared" si="20"/>
        <v>0</v>
      </c>
      <c r="N91" s="8">
        <f t="shared" si="20"/>
        <v>2500</v>
      </c>
      <c r="O91" s="8">
        <f t="shared" si="20"/>
        <v>155912.74</v>
      </c>
      <c r="P91" s="8">
        <f t="shared" si="20"/>
        <v>31339.59</v>
      </c>
      <c r="Q91" s="8">
        <f t="shared" si="20"/>
        <v>8655.35</v>
      </c>
      <c r="R91" s="8">
        <f t="shared" si="20"/>
        <v>314</v>
      </c>
      <c r="S91" s="8">
        <f t="shared" si="20"/>
        <v>356.62</v>
      </c>
      <c r="T91" s="8">
        <f t="shared" si="20"/>
        <v>10983.289999999999</v>
      </c>
      <c r="U91" s="8">
        <f t="shared" si="20"/>
        <v>3742.91</v>
      </c>
      <c r="V91" s="8">
        <f t="shared" si="20"/>
        <v>142.41999999999999</v>
      </c>
      <c r="W91" s="8">
        <f t="shared" si="20"/>
        <v>2709.15</v>
      </c>
      <c r="X91" s="8">
        <f t="shared" si="20"/>
        <v>1134</v>
      </c>
      <c r="Y91" s="8">
        <f t="shared" si="20"/>
        <v>56041.83</v>
      </c>
      <c r="Z91" s="8">
        <f t="shared" si="20"/>
        <v>16944.53</v>
      </c>
      <c r="AA91" s="8">
        <f t="shared" si="20"/>
        <v>3692</v>
      </c>
      <c r="AB91" s="8">
        <f t="shared" si="20"/>
        <v>6313.5399999999991</v>
      </c>
      <c r="AC91" s="8">
        <f t="shared" si="20"/>
        <v>4789</v>
      </c>
      <c r="AD91" s="8">
        <f t="shared" si="15"/>
        <v>404958.25999999995</v>
      </c>
    </row>
    <row r="92" spans="1:30" x14ac:dyDescent="0.3">
      <c r="A92" s="5" t="s">
        <v>115</v>
      </c>
      <c r="B92" s="8">
        <f t="shared" ref="B92:AC92" si="21">(B37)-(B91)</f>
        <v>-12878.789999999999</v>
      </c>
      <c r="C92" s="8">
        <f t="shared" si="21"/>
        <v>67.150000000000006</v>
      </c>
      <c r="D92" s="8">
        <f t="shared" si="21"/>
        <v>2631.1200000000026</v>
      </c>
      <c r="E92" s="8">
        <f t="shared" si="21"/>
        <v>191.26000000000022</v>
      </c>
      <c r="F92" s="8">
        <f t="shared" si="21"/>
        <v>12708</v>
      </c>
      <c r="G92" s="8">
        <f t="shared" si="21"/>
        <v>13547.890000000003</v>
      </c>
      <c r="H92" s="8">
        <f t="shared" si="21"/>
        <v>4130.7100000000028</v>
      </c>
      <c r="I92" s="8">
        <f t="shared" si="21"/>
        <v>-790</v>
      </c>
      <c r="J92" s="8">
        <f t="shared" si="21"/>
        <v>22174.01</v>
      </c>
      <c r="K92" s="8">
        <f t="shared" si="21"/>
        <v>-13253.41</v>
      </c>
      <c r="L92" s="8">
        <f t="shared" si="21"/>
        <v>-569.91</v>
      </c>
      <c r="M92" s="8">
        <f t="shared" si="21"/>
        <v>472.22</v>
      </c>
      <c r="N92" s="8">
        <f t="shared" si="21"/>
        <v>-2500</v>
      </c>
      <c r="O92" s="8">
        <f t="shared" si="21"/>
        <v>-73112.789999999994</v>
      </c>
      <c r="P92" s="8">
        <f t="shared" si="21"/>
        <v>-5542.9600000000064</v>
      </c>
      <c r="Q92" s="8">
        <f t="shared" si="21"/>
        <v>-143.45000000000073</v>
      </c>
      <c r="R92" s="8">
        <f t="shared" si="21"/>
        <v>2719.04</v>
      </c>
      <c r="S92" s="8">
        <f t="shared" si="21"/>
        <v>-356.62</v>
      </c>
      <c r="T92" s="8">
        <f t="shared" si="21"/>
        <v>-5333.2899999999991</v>
      </c>
      <c r="U92" s="8">
        <f t="shared" si="21"/>
        <v>15786.010000000002</v>
      </c>
      <c r="V92" s="8">
        <f t="shared" si="21"/>
        <v>-142.41999999999999</v>
      </c>
      <c r="W92" s="8">
        <f t="shared" si="21"/>
        <v>-598.88999999999987</v>
      </c>
      <c r="X92" s="8">
        <f t="shared" si="21"/>
        <v>-459</v>
      </c>
      <c r="Y92" s="8">
        <f t="shared" si="21"/>
        <v>-9931.75</v>
      </c>
      <c r="Z92" s="8">
        <f t="shared" si="21"/>
        <v>-1794.7299999999996</v>
      </c>
      <c r="AA92" s="8">
        <f t="shared" si="21"/>
        <v>4705</v>
      </c>
      <c r="AB92" s="8">
        <f t="shared" si="21"/>
        <v>5784.92</v>
      </c>
      <c r="AC92" s="8">
        <f t="shared" si="21"/>
        <v>4029.25</v>
      </c>
      <c r="AD92" s="8">
        <f t="shared" si="15"/>
        <v>-38461.429999999993</v>
      </c>
    </row>
    <row r="93" spans="1:30" x14ac:dyDescent="0.3">
      <c r="A93" s="5" t="s">
        <v>116</v>
      </c>
      <c r="B93" s="9">
        <f t="shared" ref="B93:AC93" si="22">(B92)+(0)</f>
        <v>-12878.789999999999</v>
      </c>
      <c r="C93" s="9">
        <f t="shared" si="22"/>
        <v>67.150000000000006</v>
      </c>
      <c r="D93" s="9">
        <f t="shared" si="22"/>
        <v>2631.1200000000026</v>
      </c>
      <c r="E93" s="9">
        <f t="shared" si="22"/>
        <v>191.26000000000022</v>
      </c>
      <c r="F93" s="9">
        <f t="shared" si="22"/>
        <v>12708</v>
      </c>
      <c r="G93" s="9">
        <f t="shared" si="22"/>
        <v>13547.890000000003</v>
      </c>
      <c r="H93" s="9">
        <f t="shared" si="22"/>
        <v>4130.7100000000028</v>
      </c>
      <c r="I93" s="9">
        <f t="shared" si="22"/>
        <v>-790</v>
      </c>
      <c r="J93" s="9">
        <f t="shared" si="22"/>
        <v>22174.01</v>
      </c>
      <c r="K93" s="9">
        <f t="shared" si="22"/>
        <v>-13253.41</v>
      </c>
      <c r="L93" s="9">
        <f t="shared" si="22"/>
        <v>-569.91</v>
      </c>
      <c r="M93" s="9">
        <f t="shared" si="22"/>
        <v>472.22</v>
      </c>
      <c r="N93" s="9">
        <f t="shared" si="22"/>
        <v>-2500</v>
      </c>
      <c r="O93" s="9">
        <f t="shared" si="22"/>
        <v>-73112.789999999994</v>
      </c>
      <c r="P93" s="9">
        <f t="shared" si="22"/>
        <v>-5542.9600000000064</v>
      </c>
      <c r="Q93" s="9">
        <f t="shared" si="22"/>
        <v>-143.45000000000073</v>
      </c>
      <c r="R93" s="9">
        <f t="shared" si="22"/>
        <v>2719.04</v>
      </c>
      <c r="S93" s="9">
        <f t="shared" si="22"/>
        <v>-356.62</v>
      </c>
      <c r="T93" s="9">
        <f t="shared" si="22"/>
        <v>-5333.2899999999991</v>
      </c>
      <c r="U93" s="9">
        <f t="shared" si="22"/>
        <v>15786.010000000002</v>
      </c>
      <c r="V93" s="9">
        <f t="shared" si="22"/>
        <v>-142.41999999999999</v>
      </c>
      <c r="W93" s="9">
        <f t="shared" si="22"/>
        <v>-598.88999999999987</v>
      </c>
      <c r="X93" s="9">
        <f t="shared" si="22"/>
        <v>-459</v>
      </c>
      <c r="Y93" s="9">
        <f t="shared" si="22"/>
        <v>-9931.75</v>
      </c>
      <c r="Z93" s="9">
        <f t="shared" si="22"/>
        <v>-1794.7299999999996</v>
      </c>
      <c r="AA93" s="9">
        <f t="shared" si="22"/>
        <v>4705</v>
      </c>
      <c r="AB93" s="9">
        <f t="shared" si="22"/>
        <v>5784.92</v>
      </c>
      <c r="AC93" s="9">
        <f t="shared" si="22"/>
        <v>4029.25</v>
      </c>
      <c r="AD93" s="9">
        <f t="shared" si="15"/>
        <v>-38461.429999999993</v>
      </c>
    </row>
    <row r="94" spans="1:30" x14ac:dyDescent="0.3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7" spans="1:30" x14ac:dyDescent="0.3">
      <c r="A97" s="10" t="s">
        <v>117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</sheetData>
  <mergeCells count="1">
    <mergeCell ref="A97:AD97"/>
  </mergeCells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 by Class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2024-04-08T01:15:05Z</cp:lastPrinted>
  <dcterms:created xsi:type="dcterms:W3CDTF">2024-04-08T01:09:55Z</dcterms:created>
  <dcterms:modified xsi:type="dcterms:W3CDTF">2024-04-08T01:15:12Z</dcterms:modified>
</cp:coreProperties>
</file>